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AZIS\2026 ТСЖ\"/>
    </mc:Choice>
  </mc:AlternateContent>
  <bookViews>
    <workbookView xWindow="0" yWindow="0" windowWidth="28800" windowHeight="11730"/>
  </bookViews>
  <sheets>
    <sheet name="2026 (3)" sheetId="1" r:id="rId1"/>
  </sheets>
  <definedNames>
    <definedName name="_xlnm.Print_Area" localSheetId="0">'2026 (3)'!$A$1:$H$139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9" i="1" l="1"/>
  <c r="F131" i="1"/>
  <c r="D131" i="1"/>
  <c r="H126" i="1"/>
  <c r="G126" i="1"/>
  <c r="F126" i="1"/>
  <c r="E126" i="1"/>
  <c r="D126" i="1"/>
  <c r="D116" i="1"/>
  <c r="H115" i="1"/>
  <c r="G115" i="1"/>
  <c r="F115" i="1"/>
  <c r="E115" i="1"/>
  <c r="D115" i="1"/>
  <c r="D114" i="1"/>
  <c r="H113" i="1"/>
  <c r="H116" i="1" s="1"/>
  <c r="G113" i="1"/>
  <c r="G116" i="1" s="1"/>
  <c r="F113" i="1"/>
  <c r="F116" i="1" s="1"/>
  <c r="E113" i="1"/>
  <c r="E116" i="1" s="1"/>
  <c r="D113" i="1"/>
  <c r="H106" i="1"/>
  <c r="G106" i="1"/>
  <c r="F106" i="1"/>
  <c r="E106" i="1"/>
  <c r="D106" i="1"/>
  <c r="D94" i="1"/>
  <c r="D95" i="1" s="1"/>
  <c r="D93" i="1"/>
  <c r="H90" i="1"/>
  <c r="F90" i="1" s="1"/>
  <c r="F91" i="1" s="1"/>
  <c r="F92" i="1" s="1"/>
  <c r="F132" i="1" s="1"/>
  <c r="F89" i="1"/>
  <c r="D89" i="1"/>
  <c r="H88" i="1"/>
  <c r="G88" i="1"/>
  <c r="F88" i="1"/>
  <c r="E88" i="1"/>
  <c r="F87" i="1"/>
  <c r="D87" i="1"/>
  <c r="D88" i="1" s="1"/>
  <c r="D84" i="1"/>
  <c r="H83" i="1"/>
  <c r="H84" i="1" s="1"/>
  <c r="D83" i="1"/>
  <c r="G74" i="1"/>
  <c r="F74" i="1"/>
  <c r="E74" i="1"/>
  <c r="D74" i="1"/>
  <c r="C74" i="1"/>
  <c r="F73" i="1"/>
  <c r="E73" i="1"/>
  <c r="D73" i="1"/>
  <c r="H70" i="1"/>
  <c r="C70" i="1"/>
  <c r="F70" i="1" s="1"/>
  <c r="H65" i="1"/>
  <c r="G65" i="1"/>
  <c r="F65" i="1"/>
  <c r="E65" i="1"/>
  <c r="C65" i="1"/>
  <c r="G57" i="1"/>
  <c r="F57" i="1"/>
  <c r="E57" i="1"/>
  <c r="D57" i="1"/>
  <c r="C57" i="1"/>
  <c r="H57" i="1" s="1"/>
  <c r="G56" i="1"/>
  <c r="E56" i="1"/>
  <c r="G54" i="1"/>
  <c r="E54" i="1"/>
  <c r="G53" i="1"/>
  <c r="E53" i="1"/>
  <c r="E50" i="1" s="1"/>
  <c r="G52" i="1"/>
  <c r="E52" i="1"/>
  <c r="G51" i="1"/>
  <c r="G50" i="1" s="1"/>
  <c r="E51" i="1"/>
  <c r="C50" i="1"/>
  <c r="H49" i="1"/>
  <c r="G49" i="1"/>
  <c r="F49" i="1"/>
  <c r="G48" i="1"/>
  <c r="F48" i="1"/>
  <c r="E48" i="1"/>
  <c r="D48" i="1"/>
  <c r="H47" i="1"/>
  <c r="D47" i="1"/>
  <c r="H46" i="1"/>
  <c r="G46" i="1"/>
  <c r="F46" i="1"/>
  <c r="E46" i="1"/>
  <c r="F45" i="1"/>
  <c r="E45" i="1"/>
  <c r="D45" i="1"/>
  <c r="H44" i="1"/>
  <c r="G44" i="1"/>
  <c r="H43" i="1"/>
  <c r="G43" i="1"/>
  <c r="F43" i="1"/>
  <c r="E43" i="1"/>
  <c r="D43" i="1"/>
  <c r="E42" i="1"/>
  <c r="D42" i="1"/>
  <c r="C41" i="1"/>
  <c r="H40" i="1"/>
  <c r="G40" i="1"/>
  <c r="F40" i="1"/>
  <c r="E40" i="1"/>
  <c r="D40" i="1"/>
  <c r="E39" i="1"/>
  <c r="D39" i="1"/>
  <c r="H38" i="1"/>
  <c r="G38" i="1"/>
  <c r="F38" i="1"/>
  <c r="C34" i="1"/>
  <c r="H33" i="1"/>
  <c r="G33" i="1"/>
  <c r="F33" i="1"/>
  <c r="E33" i="1"/>
  <c r="D33" i="1"/>
  <c r="C33" i="1"/>
  <c r="F32" i="1"/>
  <c r="E32" i="1"/>
  <c r="D32" i="1"/>
  <c r="H31" i="1"/>
  <c r="G31" i="1"/>
  <c r="H30" i="1"/>
  <c r="G30" i="1"/>
  <c r="F30" i="1"/>
  <c r="E30" i="1"/>
  <c r="D30" i="1"/>
  <c r="C22" i="1"/>
  <c r="H22" i="1" s="1"/>
  <c r="C16" i="1"/>
  <c r="C15" i="1" s="1"/>
  <c r="D15" i="1" s="1"/>
  <c r="E15" i="1" s="1"/>
  <c r="F15" i="1" s="1"/>
  <c r="G15" i="1" s="1"/>
  <c r="H15" i="1" s="1"/>
  <c r="C11" i="1"/>
  <c r="C10" i="1" s="1"/>
  <c r="G9" i="1"/>
  <c r="F9" i="1"/>
  <c r="E9" i="1"/>
  <c r="D9" i="1"/>
  <c r="C9" i="1"/>
  <c r="H9" i="1" s="1"/>
  <c r="E8" i="1"/>
  <c r="D8" i="1"/>
  <c r="H7" i="1"/>
  <c r="G7" i="1"/>
  <c r="F7" i="1"/>
  <c r="C5" i="1"/>
  <c r="G93" i="1" s="1"/>
  <c r="G94" i="1" s="1"/>
  <c r="G95" i="1" s="1"/>
  <c r="D10" i="1" l="1"/>
  <c r="F10" i="1"/>
  <c r="E10" i="1"/>
  <c r="D22" i="1"/>
  <c r="G70" i="1"/>
  <c r="G90" i="1"/>
  <c r="G91" i="1" s="1"/>
  <c r="G92" i="1" s="1"/>
  <c r="G132" i="1" s="1"/>
  <c r="H93" i="1"/>
  <c r="H94" i="1" s="1"/>
  <c r="H95" i="1" s="1"/>
  <c r="F8" i="1"/>
  <c r="F22" i="1"/>
  <c r="D31" i="1"/>
  <c r="G32" i="1"/>
  <c r="F39" i="1"/>
  <c r="F42" i="1"/>
  <c r="D44" i="1"/>
  <c r="G45" i="1"/>
  <c r="E47" i="1"/>
  <c r="H48" i="1"/>
  <c r="D70" i="1"/>
  <c r="G73" i="1"/>
  <c r="G80" i="1" s="1"/>
  <c r="G81" i="1" s="1"/>
  <c r="G82" i="1" s="1"/>
  <c r="G85" i="1" s="1"/>
  <c r="G130" i="1" s="1"/>
  <c r="G133" i="1" s="1"/>
  <c r="E83" i="1"/>
  <c r="E84" i="1" s="1"/>
  <c r="D90" i="1"/>
  <c r="D91" i="1" s="1"/>
  <c r="D92" i="1" s="1"/>
  <c r="D132" i="1" s="1"/>
  <c r="E93" i="1"/>
  <c r="E94" i="1" s="1"/>
  <c r="E95" i="1" s="1"/>
  <c r="D7" i="1"/>
  <c r="G8" i="1"/>
  <c r="G22" i="1"/>
  <c r="E31" i="1"/>
  <c r="H32" i="1"/>
  <c r="D38" i="1"/>
  <c r="G39" i="1"/>
  <c r="G42" i="1"/>
  <c r="G41" i="1" s="1"/>
  <c r="E44" i="1"/>
  <c r="E41" i="1" s="1"/>
  <c r="E80" i="1" s="1"/>
  <c r="E81" i="1" s="1"/>
  <c r="E82" i="1" s="1"/>
  <c r="E85" i="1" s="1"/>
  <c r="E130" i="1" s="1"/>
  <c r="E133" i="1" s="1"/>
  <c r="H45" i="1"/>
  <c r="F47" i="1"/>
  <c r="D49" i="1"/>
  <c r="E70" i="1"/>
  <c r="H73" i="1"/>
  <c r="F83" i="1"/>
  <c r="F84" i="1" s="1"/>
  <c r="E90" i="1"/>
  <c r="E91" i="1" s="1"/>
  <c r="E92" i="1" s="1"/>
  <c r="E132" i="1" s="1"/>
  <c r="H91" i="1"/>
  <c r="H92" i="1" s="1"/>
  <c r="H132" i="1" s="1"/>
  <c r="F93" i="1"/>
  <c r="F94" i="1" s="1"/>
  <c r="F95" i="1" s="1"/>
  <c r="E22" i="1"/>
  <c r="C80" i="1"/>
  <c r="C85" i="1" s="1"/>
  <c r="E7" i="1"/>
  <c r="H8" i="1"/>
  <c r="F31" i="1"/>
  <c r="E38" i="1"/>
  <c r="H39" i="1"/>
  <c r="H42" i="1"/>
  <c r="H41" i="1" s="1"/>
  <c r="F44" i="1"/>
  <c r="D46" i="1"/>
  <c r="D41" i="1" s="1"/>
  <c r="G47" i="1"/>
  <c r="E49" i="1"/>
  <c r="D65" i="1"/>
  <c r="G83" i="1"/>
  <c r="G84" i="1" s="1"/>
  <c r="D80" i="1" l="1"/>
  <c r="D81" i="1" s="1"/>
  <c r="D82" i="1" s="1"/>
  <c r="D85" i="1" s="1"/>
  <c r="D130" i="1" s="1"/>
  <c r="D133" i="1" s="1"/>
  <c r="F41" i="1"/>
  <c r="F80" i="1" s="1"/>
  <c r="F81" i="1" s="1"/>
  <c r="F82" i="1" s="1"/>
  <c r="F85" i="1" s="1"/>
  <c r="F130" i="1" s="1"/>
  <c r="F133" i="1" s="1"/>
  <c r="H80" i="1"/>
  <c r="H81" i="1" s="1"/>
  <c r="H82" i="1" s="1"/>
  <c r="H85" i="1" s="1"/>
  <c r="H130" i="1" s="1"/>
  <c r="H133" i="1" s="1"/>
  <c r="H134" i="1" l="1"/>
</calcChain>
</file>

<file path=xl/sharedStrings.xml><?xml version="1.0" encoding="utf-8"?>
<sst xmlns="http://schemas.openxmlformats.org/spreadsheetml/2006/main" count="184" uniqueCount="125">
  <si>
    <t>СМЕТА ДОХОДОВ И РАСХОДОВ ТСЖ "ОАЗИС" НА  2026г.</t>
  </si>
  <si>
    <t>Статья расхода</t>
  </si>
  <si>
    <t xml:space="preserve">Сумма расхода </t>
  </si>
  <si>
    <t>Корпус 1</t>
  </si>
  <si>
    <t>Корпус 2</t>
  </si>
  <si>
    <t>Нежилые</t>
  </si>
  <si>
    <t>всего, руб.</t>
  </si>
  <si>
    <t xml:space="preserve">жилые </t>
  </si>
  <si>
    <t>паркинг</t>
  </si>
  <si>
    <t xml:space="preserve"> паркинг</t>
  </si>
  <si>
    <t>помещения</t>
  </si>
  <si>
    <t>ПЛОЩАДЬ ПОМЕЩЕНИЙ</t>
  </si>
  <si>
    <t>Расходы на содержание и текущий ремонт</t>
  </si>
  <si>
    <t xml:space="preserve">Оплата труда с начислениями на ФОТ, всего </t>
  </si>
  <si>
    <t>Услуги по содержанию и текущему ремонту ОИ</t>
  </si>
  <si>
    <t>Юридические и консультационные услуги</t>
  </si>
  <si>
    <t>Содержание и текущий ремонт лифтов, всего</t>
  </si>
  <si>
    <t xml:space="preserve">  - плановое техническое обслуживание лифтов в т.ч. освидетельствование лифтов</t>
  </si>
  <si>
    <t xml:space="preserve">  - текущий ремонт лифтов</t>
  </si>
  <si>
    <t xml:space="preserve">  - аварийный ремонт лифтов</t>
  </si>
  <si>
    <t xml:space="preserve">  - обязательное страхование лифтов</t>
  </si>
  <si>
    <t>Содержание и текущий ремонт центрального теплового пункта (ЦТП), всего</t>
  </si>
  <si>
    <t xml:space="preserve">   - плановое техническое обслуживание ЦТП</t>
  </si>
  <si>
    <t xml:space="preserve">   - электроснабжение ЦТП</t>
  </si>
  <si>
    <t xml:space="preserve">   - гидравлические испытания ЦТП</t>
  </si>
  <si>
    <t xml:space="preserve">   - текущий ремонт ЦТП</t>
  </si>
  <si>
    <t xml:space="preserve">   - аварийные работы ЦТП</t>
  </si>
  <si>
    <t xml:space="preserve">   - замена задвижек и кранов на разводящих трубопроводах, обратных клапанов, ремонт насосных групп ХВС/ГВС/Отопление</t>
  </si>
  <si>
    <t xml:space="preserve">Материалы, производственный и хозяйственный инвентарь, моющие средства, канцтовары, всего </t>
  </si>
  <si>
    <t xml:space="preserve">  - канцтовары</t>
  </si>
  <si>
    <t xml:space="preserve">  - уборочный инвентарь и моющие средства</t>
  </si>
  <si>
    <t xml:space="preserve">  - электроосветительное оборудование</t>
  </si>
  <si>
    <t xml:space="preserve">  - рабочий инструмент, инвентарь, материалы, спецодежда</t>
  </si>
  <si>
    <t xml:space="preserve">  - расходы на содержание и эксплуатацию  средств малой механизации, ремонт, обслуживание, ТО</t>
  </si>
  <si>
    <t xml:space="preserve">  - прочие </t>
  </si>
  <si>
    <t xml:space="preserve">  - ГСМ</t>
  </si>
  <si>
    <t>Электроснабжение</t>
  </si>
  <si>
    <t>Сопровождение бухгалтерского программного обеспечения</t>
  </si>
  <si>
    <t xml:space="preserve">Обязательное страхование отвественности </t>
  </si>
  <si>
    <t>Содержание систем дымоудаления и ППА, всего</t>
  </si>
  <si>
    <t xml:space="preserve">  - техническое обслуживание общедомой пожарной сигнализации (ОПС)</t>
  </si>
  <si>
    <t xml:space="preserve">  - текущий ремонт систем ДУ и вентиляции</t>
  </si>
  <si>
    <t xml:space="preserve">  - плановое техническое обслуживание ДУ и ППА</t>
  </si>
  <si>
    <t xml:space="preserve">  - текущий ремонт противопожарного трубопровода, замена пожарных рукавов</t>
  </si>
  <si>
    <t>ОЗДС</t>
  </si>
  <si>
    <t>Обслуживание в банке</t>
  </si>
  <si>
    <t>Услуги связи для ТСЖ</t>
  </si>
  <si>
    <t>Текущий ремонт общедомового имущества</t>
  </si>
  <si>
    <t>1</t>
  </si>
  <si>
    <t xml:space="preserve">  - ремонт внутренних трубопроводов ХВС/ГВС/Отопление/Канализация</t>
  </si>
  <si>
    <t>3.1/8.6</t>
  </si>
  <si>
    <t xml:space="preserve">  - локальный ремонт мест общего пользования </t>
  </si>
  <si>
    <t>3.2/7.1/8.1/8.2/8.7/8.8</t>
  </si>
  <si>
    <t xml:space="preserve">  - штукатурные и малярные работы </t>
  </si>
  <si>
    <t>5</t>
  </si>
  <si>
    <t xml:space="preserve">  - ремонт мягкой кровли и рулонной гидроизоляции</t>
  </si>
  <si>
    <t xml:space="preserve">  - ремонт входных групп  корп. 1, 2</t>
  </si>
  <si>
    <t xml:space="preserve">  - ремонт КПП</t>
  </si>
  <si>
    <t>6</t>
  </si>
  <si>
    <t xml:space="preserve">  - ремонт парапетных крышек стилобата </t>
  </si>
  <si>
    <t>12.1</t>
  </si>
  <si>
    <t xml:space="preserve">  - замена АВР в электрощитовых</t>
  </si>
  <si>
    <t>Текущий ремонт паркингов</t>
  </si>
  <si>
    <t>2.1</t>
  </si>
  <si>
    <t xml:space="preserve">  - инъектирование (гидроизоляция)</t>
  </si>
  <si>
    <t>2.2</t>
  </si>
  <si>
    <t xml:space="preserve">  - водоотведение со стилобата 1 - 2 корп</t>
  </si>
  <si>
    <t xml:space="preserve">  - механическая прочистка с часчитной заменой трубопроводов дренажно-ливневой канализации</t>
  </si>
  <si>
    <t>11.1</t>
  </si>
  <si>
    <t xml:space="preserve">  - ремонт дренажных приемных приямков </t>
  </si>
  <si>
    <t xml:space="preserve">  - ремонт вытяжной вентиляции паркинга 2 корп.</t>
  </si>
  <si>
    <t>11.5</t>
  </si>
  <si>
    <t xml:space="preserve">  - текщий ремонт пола паркинга 1, 2 корп.</t>
  </si>
  <si>
    <t>Благоустройство прилегающей территории</t>
  </si>
  <si>
    <t xml:space="preserve">  - озеленение и благоустройство придомовой территории и детских площадок</t>
  </si>
  <si>
    <t xml:space="preserve">  - ремонт и покраска забора </t>
  </si>
  <si>
    <t xml:space="preserve">  - ремонт дорожной плитки </t>
  </si>
  <si>
    <t>8.4/8.11</t>
  </si>
  <si>
    <t xml:space="preserve">  - локальный ремонт тротуаров, бордюров</t>
  </si>
  <si>
    <t xml:space="preserve">  - ремонт малых архитектурных форм  на стилобатах</t>
  </si>
  <si>
    <t>8.9</t>
  </si>
  <si>
    <t xml:space="preserve">  - ремонт асфальтового покрытия на территории ЖК</t>
  </si>
  <si>
    <t xml:space="preserve">  - восстановление дорожной разметки</t>
  </si>
  <si>
    <t>Аварийные работы</t>
  </si>
  <si>
    <t xml:space="preserve">  - очистка кровель и вывоз снега </t>
  </si>
  <si>
    <t xml:space="preserve">  - ремонт фасадов</t>
  </si>
  <si>
    <t xml:space="preserve">  - ремонт кровель</t>
  </si>
  <si>
    <t xml:space="preserve">  - ремонт внутредомовых трубопродов</t>
  </si>
  <si>
    <t>Прочие расходы</t>
  </si>
  <si>
    <t xml:space="preserve">  - ГИС</t>
  </si>
  <si>
    <t xml:space="preserve">  - госпошлина</t>
  </si>
  <si>
    <t>Непредвиденные расходы</t>
  </si>
  <si>
    <t>Содержание охранных систем, всего</t>
  </si>
  <si>
    <t xml:space="preserve">  - техническое обслуживание систем видеонаблюдения, СКУД, ЛВС,шлагбаумов</t>
  </si>
  <si>
    <t xml:space="preserve">  - ремонт системы аварийного оповещения инженерных систем МКД</t>
  </si>
  <si>
    <t xml:space="preserve">  - замена вышедших из строя камер видеонаблюдения</t>
  </si>
  <si>
    <t xml:space="preserve">  - текущий ремонт шлагбаумов и систем локальной сети</t>
  </si>
  <si>
    <t xml:space="preserve">  - модернизация локальной сети</t>
  </si>
  <si>
    <t>ИТОГО</t>
  </si>
  <si>
    <t>ИТОГО расход (руб.) на м кв. в год</t>
  </si>
  <si>
    <t>ВСЕГО расход (руб.) на м кв. в месяц</t>
  </si>
  <si>
    <t>Bознаграждение председателю ТСЖ</t>
  </si>
  <si>
    <t>ИТОГО расход (руб.) на м кв. в месяц</t>
  </si>
  <si>
    <t xml:space="preserve">ВСЕГО расход на м кв в месяц </t>
  </si>
  <si>
    <t xml:space="preserve">Оплата труда консьержей с начислениями на ФОТ </t>
  </si>
  <si>
    <t>Услуги охраны, всего</t>
  </si>
  <si>
    <t>Обращение с ТКО, всего</t>
  </si>
  <si>
    <t>Телеантенна (602 квартиры)</t>
  </si>
  <si>
    <t>ВСЕГО расход (руб.) на объект в месяц</t>
  </si>
  <si>
    <t>Ставки на компенсацию расходов в 2026г.</t>
  </si>
  <si>
    <t>Статья компенсации расхода</t>
  </si>
  <si>
    <t>Содержание и текущий ремонт МКД</t>
  </si>
  <si>
    <t>Обращение с ТКО</t>
  </si>
  <si>
    <t xml:space="preserve">Услуги консьержей </t>
  </si>
  <si>
    <t>Услуги охраны</t>
  </si>
  <si>
    <t xml:space="preserve">Ставки на компенсацию расходов в 2026г , включаемые в единый платежный </t>
  </si>
  <si>
    <t>документ собственникам в январе - марте 2026г.</t>
  </si>
  <si>
    <t xml:space="preserve">Ставки на компенсацию расходов в 2025г , включаемые в единый платежный </t>
  </si>
  <si>
    <t>документ собственникам в апреле - декабре 2025г.</t>
  </si>
  <si>
    <t>Расчетные доходы</t>
  </si>
  <si>
    <t>ВСЕГО расчетных доходов</t>
  </si>
  <si>
    <t>Доходы</t>
  </si>
  <si>
    <t>Штрафные санкции по судебным решениям</t>
  </si>
  <si>
    <t>зачисляются в резервный фонд</t>
  </si>
  <si>
    <t>Пени за просрочку оплаты услуг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</si>
</sst>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i/>
      <u/>
      <sz val="12"/>
      <color theme="1"/>
      <name val="Arial"/>
      <family val="2"/>
      <charset val="204"/>
    </font>
    <font>
      <i/>
      <sz val="11"/>
      <color theme="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i/>
      <sz val="11"/>
      <name val="Arial"/>
      <family val="2"/>
      <charset val="204"/>
    </font>
    <font>
      <sz val="11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i/>
      <sz val="12"/>
      <color theme="1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4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2">
    <xf numFmtId="0" fontId="0" fillId="0" borderId="0" xfId="0"/>
    <xf numFmtId="0" fontId="2" fillId="0" borderId="0" xfId="1" applyFont="1" applyAlignment="1">
      <alignment horizontal="center"/>
    </xf>
    <xf numFmtId="0" fontId="1" fillId="0" borderId="0" xfId="1"/>
    <xf numFmtId="0" fontId="3" fillId="0" borderId="0" xfId="1" applyFont="1"/>
    <xf numFmtId="4" fontId="3" fillId="0" borderId="0" xfId="1" applyNumberFormat="1" applyFont="1"/>
    <xf numFmtId="0" fontId="3" fillId="2" borderId="1" xfId="1" applyFont="1" applyFill="1" applyBorder="1"/>
    <xf numFmtId="4" fontId="3" fillId="2" borderId="2" xfId="1" applyNumberFormat="1" applyFont="1" applyFill="1" applyBorder="1" applyAlignment="1">
      <alignment wrapText="1"/>
    </xf>
    <xf numFmtId="0" fontId="3" fillId="2" borderId="3" xfId="1" applyFont="1" applyFill="1" applyBorder="1"/>
    <xf numFmtId="0" fontId="3" fillId="2" borderId="4" xfId="1" applyFont="1" applyFill="1" applyBorder="1"/>
    <xf numFmtId="0" fontId="3" fillId="2" borderId="5" xfId="1" applyFont="1" applyFill="1" applyBorder="1"/>
    <xf numFmtId="0" fontId="3" fillId="2" borderId="6" xfId="1" applyFont="1" applyFill="1" applyBorder="1"/>
    <xf numFmtId="4" fontId="3" fillId="2" borderId="7" xfId="1" applyNumberFormat="1" applyFont="1" applyFill="1" applyBorder="1"/>
    <xf numFmtId="0" fontId="3" fillId="2" borderId="8" xfId="1" applyFont="1" applyFill="1" applyBorder="1"/>
    <xf numFmtId="0" fontId="3" fillId="2" borderId="3" xfId="1" applyFont="1" applyFill="1" applyBorder="1" applyAlignment="1">
      <alignment wrapText="1"/>
    </xf>
    <xf numFmtId="0" fontId="3" fillId="2" borderId="6" xfId="1" applyFont="1" applyFill="1" applyBorder="1" applyAlignment="1">
      <alignment wrapText="1"/>
    </xf>
    <xf numFmtId="0" fontId="3" fillId="0" borderId="9" xfId="1" applyFont="1" applyBorder="1"/>
    <xf numFmtId="164" fontId="4" fillId="0" borderId="10" xfId="1" applyNumberFormat="1" applyFont="1" applyBorder="1"/>
    <xf numFmtId="0" fontId="3" fillId="0" borderId="9" xfId="1" applyFont="1" applyBorder="1" applyAlignment="1">
      <alignment wrapText="1"/>
    </xf>
    <xf numFmtId="0" fontId="3" fillId="0" borderId="1" xfId="1" applyFont="1" applyBorder="1" applyAlignment="1">
      <alignment wrapText="1"/>
    </xf>
    <xf numFmtId="0" fontId="5" fillId="3" borderId="3" xfId="1" applyFont="1" applyFill="1" applyBorder="1"/>
    <xf numFmtId="4" fontId="4" fillId="3" borderId="5" xfId="1" applyNumberFormat="1" applyFont="1" applyFill="1" applyBorder="1"/>
    <xf numFmtId="0" fontId="3" fillId="3" borderId="5" xfId="1" applyFont="1" applyFill="1" applyBorder="1"/>
    <xf numFmtId="0" fontId="3" fillId="3" borderId="4" xfId="1" applyFont="1" applyFill="1" applyBorder="1"/>
    <xf numFmtId="4" fontId="4" fillId="0" borderId="8" xfId="1" applyNumberFormat="1" applyFont="1" applyBorder="1"/>
    <xf numFmtId="1" fontId="3" fillId="0" borderId="8" xfId="1" applyNumberFormat="1" applyFont="1" applyBorder="1"/>
    <xf numFmtId="0" fontId="3" fillId="0" borderId="8" xfId="1" applyFont="1" applyBorder="1"/>
    <xf numFmtId="4" fontId="4" fillId="0" borderId="10" xfId="1" applyNumberFormat="1" applyFont="1" applyBorder="1"/>
    <xf numFmtId="0" fontId="3" fillId="0" borderId="1" xfId="1" applyFont="1" applyBorder="1"/>
    <xf numFmtId="4" fontId="4" fillId="0" borderId="11" xfId="1" applyNumberFormat="1" applyFont="1" applyBorder="1"/>
    <xf numFmtId="1" fontId="3" fillId="0" borderId="9" xfId="1" applyNumberFormat="1" applyFont="1" applyBorder="1"/>
    <xf numFmtId="0" fontId="6" fillId="0" borderId="9" xfId="1" applyFont="1" applyBorder="1" applyAlignment="1">
      <alignment wrapText="1"/>
    </xf>
    <xf numFmtId="4" fontId="7" fillId="0" borderId="12" xfId="1" applyNumberFormat="1" applyFont="1" applyBorder="1"/>
    <xf numFmtId="0" fontId="3" fillId="0" borderId="12" xfId="1" applyFont="1" applyBorder="1"/>
    <xf numFmtId="0" fontId="6" fillId="0" borderId="9" xfId="1" applyFont="1" applyBorder="1"/>
    <xf numFmtId="164" fontId="3" fillId="0" borderId="9" xfId="1" applyNumberFormat="1" applyFont="1" applyBorder="1"/>
    <xf numFmtId="4" fontId="7" fillId="0" borderId="13" xfId="1" applyNumberFormat="1" applyFont="1" applyBorder="1"/>
    <xf numFmtId="0" fontId="3" fillId="0" borderId="13" xfId="1" applyFont="1" applyBorder="1"/>
    <xf numFmtId="0" fontId="3" fillId="0" borderId="6" xfId="1" applyFont="1" applyBorder="1"/>
    <xf numFmtId="4" fontId="4" fillId="0" borderId="11" xfId="1" applyNumberFormat="1" applyFont="1" applyBorder="1" applyAlignment="1">
      <alignment vertical="center"/>
    </xf>
    <xf numFmtId="1" fontId="3" fillId="0" borderId="9" xfId="1" applyNumberFormat="1" applyFont="1" applyBorder="1" applyAlignment="1">
      <alignment vertical="center"/>
    </xf>
    <xf numFmtId="49" fontId="1" fillId="0" borderId="0" xfId="1" applyNumberFormat="1" applyAlignment="1">
      <alignment horizontal="right" vertical="center"/>
    </xf>
    <xf numFmtId="0" fontId="6" fillId="0" borderId="6" xfId="1" applyFont="1" applyBorder="1" applyAlignment="1">
      <alignment wrapText="1"/>
    </xf>
    <xf numFmtId="4" fontId="7" fillId="0" borderId="12" xfId="1" applyNumberFormat="1" applyFont="1" applyBorder="1" applyAlignment="1">
      <alignment vertical="center"/>
    </xf>
    <xf numFmtId="0" fontId="3" fillId="0" borderId="10" xfId="1" applyFont="1" applyBorder="1" applyAlignment="1">
      <alignment wrapText="1"/>
    </xf>
    <xf numFmtId="4" fontId="4" fillId="0" borderId="1" xfId="1" applyNumberFormat="1" applyFont="1" applyBorder="1" applyAlignment="1">
      <alignment vertical="center"/>
    </xf>
    <xf numFmtId="1" fontId="3" fillId="0" borderId="12" xfId="1" applyNumberFormat="1" applyFont="1" applyBorder="1" applyAlignment="1">
      <alignment vertical="center"/>
    </xf>
    <xf numFmtId="1" fontId="3" fillId="0" borderId="1" xfId="1" applyNumberFormat="1" applyFont="1" applyBorder="1" applyAlignment="1">
      <alignment vertical="center"/>
    </xf>
    <xf numFmtId="0" fontId="6" fillId="0" borderId="10" xfId="1" applyFont="1" applyBorder="1" applyAlignment="1">
      <alignment wrapText="1"/>
    </xf>
    <xf numFmtId="4" fontId="7" fillId="0" borderId="9" xfId="1" applyNumberFormat="1" applyFont="1" applyBorder="1" applyAlignment="1">
      <alignment horizontal="right" vertical="center"/>
    </xf>
    <xf numFmtId="0" fontId="6" fillId="0" borderId="7" xfId="1" applyFont="1" applyBorder="1" applyAlignment="1">
      <alignment wrapText="1"/>
    </xf>
    <xf numFmtId="4" fontId="7" fillId="0" borderId="6" xfId="1" applyNumberFormat="1" applyFont="1" applyBorder="1" applyAlignment="1">
      <alignment horizontal="right" vertical="center"/>
    </xf>
    <xf numFmtId="0" fontId="3" fillId="0" borderId="6" xfId="1" applyFont="1" applyBorder="1" applyAlignment="1">
      <alignment wrapText="1"/>
    </xf>
    <xf numFmtId="4" fontId="4" fillId="0" borderId="9" xfId="1" applyNumberFormat="1" applyFont="1" applyBorder="1"/>
    <xf numFmtId="0" fontId="3" fillId="0" borderId="1" xfId="1" applyFont="1" applyBorder="1" applyAlignment="1">
      <alignment vertical="center" wrapText="1"/>
    </xf>
    <xf numFmtId="1" fontId="3" fillId="0" borderId="1" xfId="1" applyNumberFormat="1" applyFont="1" applyBorder="1"/>
    <xf numFmtId="4" fontId="4" fillId="0" borderId="2" xfId="1" applyNumberFormat="1" applyFont="1" applyBorder="1"/>
    <xf numFmtId="4" fontId="7" fillId="0" borderId="10" xfId="1" applyNumberFormat="1" applyFont="1" applyBorder="1" applyAlignment="1">
      <alignment horizontal="right" vertical="center"/>
    </xf>
    <xf numFmtId="4" fontId="7" fillId="0" borderId="7" xfId="1" applyNumberFormat="1" applyFont="1" applyBorder="1" applyAlignment="1">
      <alignment horizontal="right" vertical="center"/>
    </xf>
    <xf numFmtId="4" fontId="4" fillId="0" borderId="1" xfId="1" applyNumberFormat="1" applyFont="1" applyBorder="1"/>
    <xf numFmtId="49" fontId="0" fillId="0" borderId="0" xfId="1" applyNumberFormat="1" applyFont="1" applyAlignment="1">
      <alignment horizontal="right" vertical="center"/>
    </xf>
    <xf numFmtId="1" fontId="3" fillId="0" borderId="8" xfId="1" applyNumberFormat="1" applyFont="1" applyBorder="1" applyAlignment="1">
      <alignment vertical="center"/>
    </xf>
    <xf numFmtId="49" fontId="0" fillId="0" borderId="0" xfId="1" applyNumberFormat="1" applyFont="1" applyAlignment="1">
      <alignment horizontal="right" vertical="center" wrapText="1"/>
    </xf>
    <xf numFmtId="0" fontId="6" fillId="0" borderId="9" xfId="1" applyFont="1" applyBorder="1" applyAlignment="1">
      <alignment vertical="center" wrapText="1"/>
    </xf>
    <xf numFmtId="0" fontId="8" fillId="0" borderId="9" xfId="1" applyFont="1" applyBorder="1" applyAlignment="1">
      <alignment vertical="center"/>
    </xf>
    <xf numFmtId="1" fontId="3" fillId="0" borderId="11" xfId="1" applyNumberFormat="1" applyFont="1" applyBorder="1"/>
    <xf numFmtId="1" fontId="3" fillId="0" borderId="11" xfId="1" applyNumberFormat="1" applyFont="1" applyBorder="1" applyAlignment="1">
      <alignment vertical="center"/>
    </xf>
    <xf numFmtId="0" fontId="3" fillId="0" borderId="2" xfId="1" applyFont="1" applyBorder="1"/>
    <xf numFmtId="1" fontId="3" fillId="0" borderId="2" xfId="1" applyNumberFormat="1" applyFont="1" applyBorder="1"/>
    <xf numFmtId="1" fontId="3" fillId="0" borderId="14" xfId="1" applyNumberFormat="1" applyFont="1" applyBorder="1"/>
    <xf numFmtId="1" fontId="3" fillId="0" borderId="6" xfId="1" applyNumberFormat="1" applyFont="1" applyBorder="1"/>
    <xf numFmtId="4" fontId="4" fillId="4" borderId="10" xfId="1" applyNumberFormat="1" applyFont="1" applyFill="1" applyBorder="1"/>
    <xf numFmtId="4" fontId="7" fillId="4" borderId="10" xfId="1" applyNumberFormat="1" applyFont="1" applyFill="1" applyBorder="1"/>
    <xf numFmtId="49" fontId="9" fillId="0" borderId="0" xfId="1" applyNumberFormat="1" applyFont="1" applyAlignment="1">
      <alignment horizontal="right" vertical="center"/>
    </xf>
    <xf numFmtId="0" fontId="8" fillId="0" borderId="9" xfId="1" applyFont="1" applyBorder="1"/>
    <xf numFmtId="4" fontId="10" fillId="4" borderId="10" xfId="1" applyNumberFormat="1" applyFont="1" applyFill="1" applyBorder="1"/>
    <xf numFmtId="0" fontId="9" fillId="0" borderId="0" xfId="1" applyFont="1"/>
    <xf numFmtId="0" fontId="6" fillId="0" borderId="6" xfId="1" applyFont="1" applyBorder="1"/>
    <xf numFmtId="1" fontId="3" fillId="0" borderId="12" xfId="1" applyNumberFormat="1" applyFont="1" applyBorder="1"/>
    <xf numFmtId="0" fontId="6" fillId="0" borderId="10" xfId="1" applyFont="1" applyBorder="1"/>
    <xf numFmtId="4" fontId="4" fillId="0" borderId="6" xfId="1" applyNumberFormat="1" applyFont="1" applyBorder="1"/>
    <xf numFmtId="1" fontId="1" fillId="0" borderId="0" xfId="1" applyNumberFormat="1"/>
    <xf numFmtId="4" fontId="7" fillId="0" borderId="8" xfId="1" applyNumberFormat="1" applyFont="1" applyBorder="1" applyAlignment="1">
      <alignment horizontal="right" vertical="center"/>
    </xf>
    <xf numFmtId="4" fontId="4" fillId="2" borderId="8" xfId="1" applyNumberFormat="1" applyFont="1" applyFill="1" applyBorder="1"/>
    <xf numFmtId="3" fontId="4" fillId="2" borderId="8" xfId="1" applyNumberFormat="1" applyFont="1" applyFill="1" applyBorder="1"/>
    <xf numFmtId="3" fontId="1" fillId="0" borderId="0" xfId="1" applyNumberFormat="1"/>
    <xf numFmtId="0" fontId="11" fillId="0" borderId="8" xfId="1" applyFont="1" applyBorder="1"/>
    <xf numFmtId="0" fontId="11" fillId="3" borderId="8" xfId="1" applyFont="1" applyFill="1" applyBorder="1"/>
    <xf numFmtId="165" fontId="1" fillId="3" borderId="8" xfId="1" applyNumberFormat="1" applyFill="1" applyBorder="1"/>
    <xf numFmtId="165" fontId="4" fillId="3" borderId="8" xfId="1" applyNumberFormat="1" applyFont="1" applyFill="1" applyBorder="1"/>
    <xf numFmtId="0" fontId="11" fillId="2" borderId="3" xfId="1" applyFont="1" applyFill="1" applyBorder="1"/>
    <xf numFmtId="4" fontId="4" fillId="2" borderId="4" xfId="1" applyNumberFormat="1" applyFont="1" applyFill="1" applyBorder="1"/>
    <xf numFmtId="165" fontId="4" fillId="2" borderId="8" xfId="1" applyNumberFormat="1" applyFont="1" applyFill="1" applyBorder="1"/>
    <xf numFmtId="0" fontId="11" fillId="3" borderId="3" xfId="1" applyFont="1" applyFill="1" applyBorder="1"/>
    <xf numFmtId="0" fontId="11" fillId="4" borderId="0" xfId="1" applyFont="1" applyFill="1"/>
    <xf numFmtId="4" fontId="4" fillId="4" borderId="0" xfId="1" applyNumberFormat="1" applyFont="1" applyFill="1"/>
    <xf numFmtId="165" fontId="12" fillId="4" borderId="0" xfId="1" applyNumberFormat="1" applyFont="1" applyFill="1"/>
    <xf numFmtId="0" fontId="13" fillId="0" borderId="3" xfId="1" applyFont="1" applyBorder="1" applyAlignment="1">
      <alignment wrapText="1"/>
    </xf>
    <xf numFmtId="4" fontId="13" fillId="0" borderId="8" xfId="1" applyNumberFormat="1" applyFont="1" applyBorder="1"/>
    <xf numFmtId="1" fontId="14" fillId="0" borderId="8" xfId="1" applyNumberFormat="1" applyFont="1" applyBorder="1"/>
    <xf numFmtId="0" fontId="14" fillId="0" borderId="8" xfId="1" applyFont="1" applyBorder="1"/>
    <xf numFmtId="0" fontId="15" fillId="0" borderId="3" xfId="1" applyFont="1" applyBorder="1"/>
    <xf numFmtId="4" fontId="13" fillId="0" borderId="13" xfId="1" applyNumberFormat="1" applyFont="1" applyBorder="1"/>
    <xf numFmtId="1" fontId="14" fillId="0" borderId="4" xfId="1" applyNumberFormat="1" applyFont="1" applyBorder="1"/>
    <xf numFmtId="0" fontId="15" fillId="2" borderId="7" xfId="1" applyFont="1" applyFill="1" applyBorder="1"/>
    <xf numFmtId="4" fontId="13" fillId="2" borderId="13" xfId="1" applyNumberFormat="1" applyFont="1" applyFill="1" applyBorder="1"/>
    <xf numFmtId="165" fontId="13" fillId="2" borderId="6" xfId="1" applyNumberFormat="1" applyFont="1" applyFill="1" applyBorder="1"/>
    <xf numFmtId="0" fontId="13" fillId="2" borderId="6" xfId="1" applyFont="1" applyFill="1" applyBorder="1"/>
    <xf numFmtId="0" fontId="13" fillId="0" borderId="1" xfId="1" applyFont="1" applyBorder="1"/>
    <xf numFmtId="4" fontId="13" fillId="0" borderId="1" xfId="1" applyNumberFormat="1" applyFont="1" applyBorder="1"/>
    <xf numFmtId="1" fontId="14" fillId="0" borderId="1" xfId="1" applyNumberFormat="1" applyFont="1" applyBorder="1"/>
    <xf numFmtId="4" fontId="10" fillId="0" borderId="4" xfId="1" applyNumberFormat="1" applyFont="1" applyBorder="1"/>
    <xf numFmtId="165" fontId="13" fillId="2" borderId="4" xfId="1" applyNumberFormat="1" applyFont="1" applyFill="1" applyBorder="1"/>
    <xf numFmtId="165" fontId="13" fillId="2" borderId="8" xfId="1" applyNumberFormat="1" applyFont="1" applyFill="1" applyBorder="1"/>
    <xf numFmtId="0" fontId="13" fillId="0" borderId="8" xfId="1" applyFont="1" applyBorder="1"/>
    <xf numFmtId="165" fontId="13" fillId="0" borderId="4" xfId="1" applyNumberFormat="1" applyFont="1" applyBorder="1"/>
    <xf numFmtId="2" fontId="13" fillId="2" borderId="4" xfId="1" applyNumberFormat="1" applyFont="1" applyFill="1" applyBorder="1"/>
    <xf numFmtId="0" fontId="13" fillId="0" borderId="9" xfId="1" applyFont="1" applyBorder="1"/>
    <xf numFmtId="4" fontId="13" fillId="0" borderId="9" xfId="1" applyNumberFormat="1" applyFont="1" applyBorder="1"/>
    <xf numFmtId="0" fontId="14" fillId="0" borderId="6" xfId="1" applyFont="1" applyBorder="1"/>
    <xf numFmtId="0" fontId="15" fillId="2" borderId="3" xfId="1" applyFont="1" applyFill="1" applyBorder="1"/>
    <xf numFmtId="4" fontId="13" fillId="2" borderId="4" xfId="1" applyNumberFormat="1" applyFont="1" applyFill="1" applyBorder="1"/>
    <xf numFmtId="0" fontId="13" fillId="2" borderId="4" xfId="1" applyFont="1" applyFill="1" applyBorder="1"/>
    <xf numFmtId="0" fontId="13" fillId="2" borderId="8" xfId="1" applyFont="1" applyFill="1" applyBorder="1"/>
    <xf numFmtId="0" fontId="14" fillId="0" borderId="0" xfId="1" applyFont="1"/>
    <xf numFmtId="0" fontId="16" fillId="0" borderId="0" xfId="1" applyFont="1"/>
    <xf numFmtId="4" fontId="14" fillId="0" borderId="0" xfId="1" applyNumberFormat="1" applyFont="1"/>
    <xf numFmtId="0" fontId="14" fillId="2" borderId="2" xfId="1" applyFont="1" applyFill="1" applyBorder="1"/>
    <xf numFmtId="4" fontId="14" fillId="2" borderId="11" xfId="1" applyNumberFormat="1" applyFont="1" applyFill="1" applyBorder="1" applyAlignment="1">
      <alignment wrapText="1"/>
    </xf>
    <xf numFmtId="0" fontId="14" fillId="2" borderId="5" xfId="1" applyFont="1" applyFill="1" applyBorder="1"/>
    <xf numFmtId="0" fontId="14" fillId="2" borderId="4" xfId="1" applyFont="1" applyFill="1" applyBorder="1"/>
    <xf numFmtId="0" fontId="14" fillId="2" borderId="3" xfId="1" applyFont="1" applyFill="1" applyBorder="1"/>
    <xf numFmtId="0" fontId="14" fillId="2" borderId="1" xfId="1" applyFont="1" applyFill="1" applyBorder="1"/>
    <xf numFmtId="0" fontId="14" fillId="2" borderId="7" xfId="1" applyFont="1" applyFill="1" applyBorder="1"/>
    <xf numFmtId="4" fontId="14" fillId="2" borderId="13" xfId="1" applyNumberFormat="1" applyFont="1" applyFill="1" applyBorder="1"/>
    <xf numFmtId="0" fontId="14" fillId="2" borderId="8" xfId="1" applyFont="1" applyFill="1" applyBorder="1"/>
    <xf numFmtId="0" fontId="14" fillId="2" borderId="3" xfId="1" applyFont="1" applyFill="1" applyBorder="1" applyAlignment="1">
      <alignment wrapText="1"/>
    </xf>
    <xf numFmtId="0" fontId="14" fillId="2" borderId="6" xfId="1" applyFont="1" applyFill="1" applyBorder="1" applyAlignment="1">
      <alignment wrapText="1"/>
    </xf>
    <xf numFmtId="0" fontId="14" fillId="4" borderId="3" xfId="1" applyFont="1" applyFill="1" applyBorder="1"/>
    <xf numFmtId="4" fontId="14" fillId="0" borderId="5" xfId="1" applyNumberFormat="1" applyFont="1" applyBorder="1"/>
    <xf numFmtId="165" fontId="14" fillId="0" borderId="8" xfId="1" applyNumberFormat="1" applyFont="1" applyBorder="1"/>
    <xf numFmtId="0" fontId="14" fillId="0" borderId="3" xfId="1" applyFont="1" applyBorder="1" applyAlignment="1">
      <alignment wrapText="1"/>
    </xf>
    <xf numFmtId="0" fontId="14" fillId="0" borderId="3" xfId="1" applyFont="1" applyBorder="1"/>
    <xf numFmtId="0" fontId="16" fillId="3" borderId="3" xfId="1" applyFont="1" applyFill="1" applyBorder="1"/>
    <xf numFmtId="4" fontId="16" fillId="3" borderId="5" xfId="1" applyNumberFormat="1" applyFont="1" applyFill="1" applyBorder="1"/>
    <xf numFmtId="2" fontId="16" fillId="3" borderId="8" xfId="1" applyNumberFormat="1" applyFont="1" applyFill="1" applyBorder="1"/>
    <xf numFmtId="49" fontId="1" fillId="4" borderId="0" xfId="1" applyNumberFormat="1" applyFill="1" applyAlignment="1">
      <alignment horizontal="right" vertical="center"/>
    </xf>
    <xf numFmtId="0" fontId="16" fillId="4" borderId="0" xfId="1" applyFont="1" applyFill="1"/>
    <xf numFmtId="4" fontId="16" fillId="4" borderId="0" xfId="1" applyNumberFormat="1" applyFont="1" applyFill="1"/>
    <xf numFmtId="2" fontId="16" fillId="4" borderId="0" xfId="1" applyNumberFormat="1" applyFont="1" applyFill="1"/>
    <xf numFmtId="0" fontId="1" fillId="4" borderId="0" xfId="1" applyFill="1"/>
    <xf numFmtId="2" fontId="14" fillId="0" borderId="8" xfId="1" applyNumberFormat="1" applyFont="1" applyBorder="1"/>
    <xf numFmtId="0" fontId="14" fillId="4" borderId="10" xfId="1" applyFont="1" applyFill="1" applyBorder="1"/>
    <xf numFmtId="4" fontId="14" fillId="0" borderId="12" xfId="1" applyNumberFormat="1" applyFont="1" applyBorder="1"/>
    <xf numFmtId="4" fontId="14" fillId="0" borderId="4" xfId="1" applyNumberFormat="1" applyFont="1" applyBorder="1"/>
    <xf numFmtId="4" fontId="16" fillId="3" borderId="4" xfId="1" applyNumberFormat="1" applyFont="1" applyFill="1" applyBorder="1"/>
    <xf numFmtId="1" fontId="13" fillId="3" borderId="5" xfId="1" applyNumberFormat="1" applyFont="1" applyFill="1" applyBorder="1"/>
    <xf numFmtId="1" fontId="13" fillId="3" borderId="8" xfId="1" applyNumberFormat="1" applyFont="1" applyFill="1" applyBorder="1"/>
    <xf numFmtId="0" fontId="13" fillId="3" borderId="5" xfId="1" applyFont="1" applyFill="1" applyBorder="1"/>
    <xf numFmtId="0" fontId="13" fillId="3" borderId="8" xfId="1" applyFont="1" applyFill="1" applyBorder="1"/>
    <xf numFmtId="0" fontId="16" fillId="4" borderId="7" xfId="1" applyFont="1" applyFill="1" applyBorder="1"/>
    <xf numFmtId="4" fontId="16" fillId="4" borderId="15" xfId="1" applyNumberFormat="1" applyFont="1" applyFill="1" applyBorder="1"/>
    <xf numFmtId="0" fontId="16" fillId="4" borderId="5" xfId="1" applyFont="1" applyFill="1" applyBorder="1"/>
    <xf numFmtId="0" fontId="16" fillId="4" borderId="4" xfId="1" applyFont="1" applyFill="1" applyBorder="1"/>
    <xf numFmtId="0" fontId="13" fillId="2" borderId="3" xfId="1" applyFont="1" applyFill="1" applyBorder="1"/>
    <xf numFmtId="4" fontId="14" fillId="2" borderId="5" xfId="1" applyNumberFormat="1" applyFont="1" applyFill="1" applyBorder="1"/>
    <xf numFmtId="4" fontId="14" fillId="0" borderId="8" xfId="1" applyNumberFormat="1" applyFont="1" applyBorder="1"/>
    <xf numFmtId="0" fontId="14" fillId="0" borderId="1" xfId="1" applyFont="1" applyBorder="1"/>
    <xf numFmtId="4" fontId="14" fillId="0" borderId="3" xfId="1" applyNumberFormat="1" applyFont="1" applyBorder="1"/>
    <xf numFmtId="0" fontId="14" fillId="0" borderId="14" xfId="1" applyFont="1" applyBorder="1"/>
    <xf numFmtId="0" fontId="14" fillId="0" borderId="11" xfId="1" applyFont="1" applyBorder="1"/>
    <xf numFmtId="0" fontId="14" fillId="0" borderId="5" xfId="1" applyFont="1" applyBorder="1"/>
    <xf numFmtId="0" fontId="14" fillId="0" borderId="4" xfId="1" applyFont="1" applyBorder="1"/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9"/>
  <sheetViews>
    <sheetView tabSelected="1" view="pageBreakPreview" topLeftCell="B70" zoomScale="115" zoomScaleNormal="115" zoomScaleSheetLayoutView="115" workbookViewId="0">
      <selection activeCell="D130" sqref="D130:H130"/>
    </sheetView>
  </sheetViews>
  <sheetFormatPr defaultColWidth="9.140625" defaultRowHeight="15" x14ac:dyDescent="0.25"/>
  <cols>
    <col min="1" max="1" width="10" style="40" hidden="1" customWidth="1"/>
    <col min="2" max="2" width="56.5703125" style="2" customWidth="1"/>
    <col min="3" max="3" width="18.42578125" style="2" customWidth="1"/>
    <col min="4" max="4" width="15.5703125" style="2" customWidth="1"/>
    <col min="5" max="5" width="14.5703125" style="2" customWidth="1"/>
    <col min="6" max="6" width="15.5703125" style="2" customWidth="1"/>
    <col min="7" max="7" width="15.28515625" style="2" customWidth="1"/>
    <col min="8" max="8" width="15.5703125" style="2" customWidth="1"/>
    <col min="9" max="9" width="11.140625" style="2" bestFit="1" customWidth="1"/>
    <col min="10" max="16384" width="9.140625" style="2"/>
  </cols>
  <sheetData>
    <row r="1" spans="2:8" ht="18" x14ac:dyDescent="0.25">
      <c r="B1" s="1" t="s">
        <v>0</v>
      </c>
      <c r="C1" s="1"/>
      <c r="D1" s="1"/>
      <c r="E1" s="1"/>
      <c r="F1" s="1"/>
      <c r="G1" s="1"/>
      <c r="H1" s="1"/>
    </row>
    <row r="2" spans="2:8" ht="15.75" x14ac:dyDescent="0.25">
      <c r="B2" s="3"/>
      <c r="C2" s="4"/>
      <c r="D2" s="3"/>
      <c r="E2" s="3"/>
      <c r="F2" s="3"/>
      <c r="G2" s="3"/>
      <c r="H2" s="3"/>
    </row>
    <row r="3" spans="2:8" ht="15.75" x14ac:dyDescent="0.25">
      <c r="B3" s="5" t="s">
        <v>1</v>
      </c>
      <c r="C3" s="6" t="s">
        <v>2</v>
      </c>
      <c r="D3" s="7" t="s">
        <v>3</v>
      </c>
      <c r="E3" s="8"/>
      <c r="F3" s="7" t="s">
        <v>4</v>
      </c>
      <c r="G3" s="9"/>
      <c r="H3" s="5" t="s">
        <v>5</v>
      </c>
    </row>
    <row r="4" spans="2:8" ht="15.75" x14ac:dyDescent="0.25">
      <c r="B4" s="10"/>
      <c r="C4" s="11" t="s">
        <v>6</v>
      </c>
      <c r="D4" s="12" t="s">
        <v>7</v>
      </c>
      <c r="E4" s="12" t="s">
        <v>8</v>
      </c>
      <c r="F4" s="12" t="s">
        <v>7</v>
      </c>
      <c r="G4" s="13" t="s">
        <v>9</v>
      </c>
      <c r="H4" s="14" t="s">
        <v>10</v>
      </c>
    </row>
    <row r="5" spans="2:8" ht="15.75" x14ac:dyDescent="0.25">
      <c r="B5" s="15" t="s">
        <v>11</v>
      </c>
      <c r="C5" s="16">
        <f>D5+E5+F5+G5+H5</f>
        <v>76974.399999999994</v>
      </c>
      <c r="D5" s="15">
        <v>17638.099999999999</v>
      </c>
      <c r="E5" s="15">
        <v>2044.9</v>
      </c>
      <c r="F5" s="15">
        <v>46419.4</v>
      </c>
      <c r="G5" s="17">
        <v>4747</v>
      </c>
      <c r="H5" s="18">
        <v>6125</v>
      </c>
    </row>
    <row r="6" spans="2:8" ht="15.75" x14ac:dyDescent="0.25">
      <c r="B6" s="19" t="s">
        <v>12</v>
      </c>
      <c r="C6" s="20"/>
      <c r="D6" s="21"/>
      <c r="E6" s="21"/>
      <c r="F6" s="21"/>
      <c r="G6" s="21"/>
      <c r="H6" s="22"/>
    </row>
    <row r="7" spans="2:8" ht="15.75" x14ac:dyDescent="0.25">
      <c r="B7" s="15" t="s">
        <v>13</v>
      </c>
      <c r="C7" s="23">
        <v>5456917</v>
      </c>
      <c r="D7" s="24">
        <f>C7/C5*D5</f>
        <v>1250411.1462733063</v>
      </c>
      <c r="E7" s="24">
        <f>C7/C5*E5</f>
        <v>144968.321588736</v>
      </c>
      <c r="F7" s="24">
        <f>C7/C5*F5</f>
        <v>3290792.9518099525</v>
      </c>
      <c r="G7" s="24">
        <f>C7/C5*G5</f>
        <v>336527.27398979402</v>
      </c>
      <c r="H7" s="24">
        <f>C7/C5*H5</f>
        <v>434217.30633821117</v>
      </c>
    </row>
    <row r="8" spans="2:8" ht="15.75" x14ac:dyDescent="0.25">
      <c r="B8" s="25" t="s">
        <v>14</v>
      </c>
      <c r="C8" s="26">
        <v>14935700</v>
      </c>
      <c r="D8" s="24">
        <f>C8/C5*D5</f>
        <v>3422402.385338502</v>
      </c>
      <c r="E8" s="24">
        <f>C8/C5*E5</f>
        <v>396781.4355162236</v>
      </c>
      <c r="F8" s="24">
        <f>C8/C5*F5</f>
        <v>9006971.5721070915</v>
      </c>
      <c r="G8" s="24">
        <f>C8/C5*G5</f>
        <v>921082.43649836839</v>
      </c>
      <c r="H8" s="24">
        <f>C8/C5*H5</f>
        <v>1188462.1705398159</v>
      </c>
    </row>
    <row r="9" spans="2:8" ht="15.75" x14ac:dyDescent="0.25">
      <c r="B9" s="27" t="s">
        <v>15</v>
      </c>
      <c r="C9" s="23">
        <f>107500*12</f>
        <v>1290000</v>
      </c>
      <c r="D9" s="24">
        <f>C9/C5*D5</f>
        <v>295593.71687210293</v>
      </c>
      <c r="E9" s="24">
        <f>C9/C5*E5</f>
        <v>34270.107983953108</v>
      </c>
      <c r="F9" s="24">
        <f>C9/C5*F5</f>
        <v>777934.30023488333</v>
      </c>
      <c r="G9" s="24">
        <f>C9/C5*G5</f>
        <v>79554.111496809332</v>
      </c>
      <c r="H9" s="24">
        <f>C9/C5*H5</f>
        <v>102647.76341225136</v>
      </c>
    </row>
    <row r="10" spans="2:8" ht="15.75" x14ac:dyDescent="0.25">
      <c r="B10" s="27" t="s">
        <v>16</v>
      </c>
      <c r="C10" s="28">
        <f>SUM(C11:C14)</f>
        <v>5075000</v>
      </c>
      <c r="D10" s="29">
        <f>C10/66102.4*D5</f>
        <v>1354161.9895798035</v>
      </c>
      <c r="E10" s="29">
        <f>C10/66102.4*E5</f>
        <v>156996.83370044056</v>
      </c>
      <c r="F10" s="29">
        <f>C10/66102.4*F5</f>
        <v>3563841.1767197563</v>
      </c>
      <c r="G10" s="29"/>
      <c r="H10" s="29"/>
    </row>
    <row r="11" spans="2:8" ht="29.25" x14ac:dyDescent="0.25">
      <c r="B11" s="30" t="s">
        <v>17</v>
      </c>
      <c r="C11" s="31">
        <f>235000*12</f>
        <v>2820000</v>
      </c>
      <c r="D11" s="32"/>
      <c r="E11" s="15"/>
      <c r="F11" s="15"/>
      <c r="G11" s="15"/>
      <c r="H11" s="15"/>
    </row>
    <row r="12" spans="2:8" ht="15.75" x14ac:dyDescent="0.25">
      <c r="B12" s="33" t="s">
        <v>18</v>
      </c>
      <c r="C12" s="31">
        <v>1550000</v>
      </c>
      <c r="D12" s="32"/>
      <c r="E12" s="34"/>
      <c r="F12" s="15"/>
      <c r="G12" s="15"/>
      <c r="H12" s="15"/>
    </row>
    <row r="13" spans="2:8" ht="15.75" x14ac:dyDescent="0.25">
      <c r="B13" s="33" t="s">
        <v>19</v>
      </c>
      <c r="C13" s="31">
        <v>690000</v>
      </c>
      <c r="D13" s="32"/>
      <c r="E13" s="34"/>
      <c r="F13" s="15"/>
      <c r="G13" s="15"/>
      <c r="H13" s="15"/>
    </row>
    <row r="14" spans="2:8" ht="15.75" x14ac:dyDescent="0.25">
      <c r="B14" s="33" t="s">
        <v>20</v>
      </c>
      <c r="C14" s="35">
        <v>15000</v>
      </c>
      <c r="D14" s="36"/>
      <c r="E14" s="37"/>
      <c r="F14" s="37"/>
      <c r="G14" s="37"/>
      <c r="H14" s="37"/>
    </row>
    <row r="15" spans="2:8" ht="30.75" x14ac:dyDescent="0.25">
      <c r="B15" s="18" t="s">
        <v>21</v>
      </c>
      <c r="C15" s="38">
        <f>SUM(C16:C21)</f>
        <v>4107600</v>
      </c>
      <c r="D15" s="39">
        <f>C15/C5*D5</f>
        <v>941225.38870065892</v>
      </c>
      <c r="E15" s="39">
        <f>D15/D5*E5</f>
        <v>109122.39965495023</v>
      </c>
      <c r="F15" s="39">
        <f>E15/E5*F5</f>
        <v>2477087.5439107032</v>
      </c>
      <c r="G15" s="39">
        <f>F15/F5*G5</f>
        <v>253315.09177077058</v>
      </c>
      <c r="H15" s="39">
        <f>G15/G5*H5</f>
        <v>326849.57596291759</v>
      </c>
    </row>
    <row r="16" spans="2:8" ht="15.75" x14ac:dyDescent="0.25">
      <c r="B16" s="33" t="s">
        <v>22</v>
      </c>
      <c r="C16" s="31">
        <f>64800*12</f>
        <v>777600</v>
      </c>
      <c r="D16" s="15"/>
      <c r="E16" s="15"/>
      <c r="F16" s="15"/>
      <c r="G16" s="15"/>
      <c r="H16" s="15"/>
    </row>
    <row r="17" spans="1:8" ht="15.75" x14ac:dyDescent="0.25">
      <c r="B17" s="33" t="s">
        <v>23</v>
      </c>
      <c r="C17" s="31">
        <v>1480000</v>
      </c>
      <c r="D17" s="15"/>
      <c r="E17" s="15"/>
      <c r="F17" s="15"/>
      <c r="G17" s="15"/>
      <c r="H17" s="15"/>
    </row>
    <row r="18" spans="1:8" ht="15.75" x14ac:dyDescent="0.25">
      <c r="B18" s="33" t="s">
        <v>24</v>
      </c>
      <c r="C18" s="31">
        <v>150000</v>
      </c>
      <c r="D18" s="15"/>
      <c r="E18" s="15"/>
      <c r="F18" s="15"/>
      <c r="G18" s="15"/>
      <c r="H18" s="15"/>
    </row>
    <row r="19" spans="1:8" ht="15.75" x14ac:dyDescent="0.25">
      <c r="B19" s="33" t="s">
        <v>25</v>
      </c>
      <c r="C19" s="31">
        <v>640000</v>
      </c>
      <c r="D19" s="15"/>
      <c r="E19" s="15"/>
      <c r="F19" s="15"/>
      <c r="G19" s="15"/>
      <c r="H19" s="15"/>
    </row>
    <row r="20" spans="1:8" ht="15.75" x14ac:dyDescent="0.25">
      <c r="B20" s="33" t="s">
        <v>26</v>
      </c>
      <c r="C20" s="31">
        <v>470000</v>
      </c>
      <c r="D20" s="15"/>
      <c r="E20" s="15"/>
      <c r="F20" s="15"/>
      <c r="G20" s="15"/>
      <c r="H20" s="15"/>
    </row>
    <row r="21" spans="1:8" ht="43.5" x14ac:dyDescent="0.25">
      <c r="B21" s="41" t="s">
        <v>27</v>
      </c>
      <c r="C21" s="42">
        <v>590000</v>
      </c>
      <c r="D21" s="37"/>
      <c r="E21" s="37"/>
      <c r="F21" s="37"/>
      <c r="G21" s="37"/>
      <c r="H21" s="37"/>
    </row>
    <row r="22" spans="1:8" ht="30.75" x14ac:dyDescent="0.25">
      <c r="B22" s="43" t="s">
        <v>28</v>
      </c>
      <c r="C22" s="44">
        <f>SUM(C23:C29)</f>
        <v>3265000</v>
      </c>
      <c r="D22" s="45">
        <f>C22/C5*D5</f>
        <v>748149.98882745428</v>
      </c>
      <c r="E22" s="39">
        <f>C22/C5*E5</f>
        <v>86737.908967137133</v>
      </c>
      <c r="F22" s="39">
        <f>C22/C5*F5</f>
        <v>1968957.744392941</v>
      </c>
      <c r="G22" s="39">
        <f>C22/C5*G5</f>
        <v>201352.07289696316</v>
      </c>
      <c r="H22" s="46">
        <f>C22/C5*H5</f>
        <v>259802.28491550437</v>
      </c>
    </row>
    <row r="23" spans="1:8" ht="15.75" x14ac:dyDescent="0.25">
      <c r="B23" s="47" t="s">
        <v>29</v>
      </c>
      <c r="C23" s="48">
        <v>75000</v>
      </c>
      <c r="D23" s="32"/>
      <c r="E23" s="15"/>
      <c r="F23" s="15"/>
      <c r="G23" s="15"/>
      <c r="H23" s="15"/>
    </row>
    <row r="24" spans="1:8" ht="15.75" x14ac:dyDescent="0.25">
      <c r="B24" s="47" t="s">
        <v>30</v>
      </c>
      <c r="C24" s="48">
        <v>520000</v>
      </c>
      <c r="D24" s="32"/>
      <c r="E24" s="15"/>
      <c r="F24" s="15"/>
      <c r="G24" s="15"/>
      <c r="H24" s="15"/>
    </row>
    <row r="25" spans="1:8" ht="15.75" x14ac:dyDescent="0.25">
      <c r="B25" s="47" t="s">
        <v>31</v>
      </c>
      <c r="C25" s="48">
        <v>590000</v>
      </c>
      <c r="D25" s="32"/>
      <c r="E25" s="15"/>
      <c r="F25" s="15"/>
      <c r="G25" s="15"/>
      <c r="H25" s="15"/>
    </row>
    <row r="26" spans="1:8" ht="29.25" x14ac:dyDescent="0.25">
      <c r="A26" s="40">
        <v>9</v>
      </c>
      <c r="B26" s="47" t="s">
        <v>32</v>
      </c>
      <c r="C26" s="48">
        <v>1250000</v>
      </c>
      <c r="D26" s="32"/>
      <c r="E26" s="15"/>
      <c r="F26" s="15"/>
      <c r="G26" s="15"/>
      <c r="H26" s="15"/>
    </row>
    <row r="27" spans="1:8" ht="30.75" customHeight="1" x14ac:dyDescent="0.25">
      <c r="B27" s="47" t="s">
        <v>33</v>
      </c>
      <c r="C27" s="48">
        <v>340000</v>
      </c>
      <c r="D27" s="32"/>
      <c r="E27" s="15"/>
      <c r="F27" s="15"/>
      <c r="G27" s="15"/>
      <c r="H27" s="15"/>
    </row>
    <row r="28" spans="1:8" ht="15.75" x14ac:dyDescent="0.25">
      <c r="B28" s="47" t="s">
        <v>34</v>
      </c>
      <c r="C28" s="48">
        <v>400000</v>
      </c>
      <c r="D28" s="32"/>
      <c r="E28" s="15"/>
      <c r="F28" s="15"/>
      <c r="G28" s="15"/>
      <c r="H28" s="15"/>
    </row>
    <row r="29" spans="1:8" ht="15.75" x14ac:dyDescent="0.25">
      <c r="B29" s="49" t="s">
        <v>35</v>
      </c>
      <c r="C29" s="50">
        <v>90000</v>
      </c>
      <c r="D29" s="32"/>
      <c r="E29" s="15"/>
      <c r="F29" s="15"/>
      <c r="G29" s="15"/>
      <c r="H29" s="15"/>
    </row>
    <row r="30" spans="1:8" ht="15.75" x14ac:dyDescent="0.25">
      <c r="B30" s="25" t="s">
        <v>36</v>
      </c>
      <c r="C30" s="23">
        <v>5000000</v>
      </c>
      <c r="D30" s="24">
        <f>C30/$C$5*$D$5</f>
        <v>1145712.0808996239</v>
      </c>
      <c r="E30" s="24">
        <f>C30/$C$5*$E$5</f>
        <v>132829.875906795</v>
      </c>
      <c r="F30" s="24">
        <f>C30/$C$5*$F$5</f>
        <v>3015249.2257166025</v>
      </c>
      <c r="G30" s="24">
        <f>C30/$C$5*$G$5</f>
        <v>308349.26936747809</v>
      </c>
      <c r="H30" s="24">
        <f>C30/$C$5*$H$5</f>
        <v>397859.54810950143</v>
      </c>
    </row>
    <row r="31" spans="1:8" ht="30.75" x14ac:dyDescent="0.25">
      <c r="B31" s="51" t="s">
        <v>37</v>
      </c>
      <c r="C31" s="52">
        <v>500000</v>
      </c>
      <c r="D31" s="29">
        <f>C31/C5*D5</f>
        <v>114571.20808996238</v>
      </c>
      <c r="E31" s="29">
        <f>C31/C5*E5</f>
        <v>13282.9875906795</v>
      </c>
      <c r="F31" s="29">
        <f>C31/C5*F5</f>
        <v>301524.92257166025</v>
      </c>
      <c r="G31" s="29">
        <f>C31/C5*G5</f>
        <v>30834.926936747805</v>
      </c>
      <c r="H31" s="29">
        <f>C31/C5*H5</f>
        <v>39785.954810950141</v>
      </c>
    </row>
    <row r="32" spans="1:8" ht="15.75" x14ac:dyDescent="0.25">
      <c r="B32" s="53" t="s">
        <v>38</v>
      </c>
      <c r="C32" s="44">
        <v>130000</v>
      </c>
      <c r="D32" s="54">
        <f>C32/C5*D5</f>
        <v>29788.514103390218</v>
      </c>
      <c r="E32" s="54">
        <f>C32/C5*E5</f>
        <v>3453.5767735766703</v>
      </c>
      <c r="F32" s="54">
        <f>C32/C5*F5</f>
        <v>78396.479868631664</v>
      </c>
      <c r="G32" s="54">
        <f>C32/C5*G5</f>
        <v>8017.0810035544291</v>
      </c>
      <c r="H32" s="54">
        <f>C32/C5*H5</f>
        <v>10344.348250847037</v>
      </c>
    </row>
    <row r="33" spans="1:8" ht="15.75" x14ac:dyDescent="0.25">
      <c r="B33" s="27" t="s">
        <v>39</v>
      </c>
      <c r="C33" s="55">
        <f>SUM(C34:C37)</f>
        <v>941200</v>
      </c>
      <c r="D33" s="54">
        <f>C33/C5*D5</f>
        <v>215668.84210854518</v>
      </c>
      <c r="E33" s="54">
        <f>C33/C5*E5</f>
        <v>25003.895840695091</v>
      </c>
      <c r="F33" s="54">
        <f>C33/C5*F5</f>
        <v>567590.51424889325</v>
      </c>
      <c r="G33" s="54">
        <f>C33/C5*G5</f>
        <v>58043.666465734066</v>
      </c>
      <c r="H33" s="54">
        <f>C33/C5*H5</f>
        <v>74893.081336132542</v>
      </c>
    </row>
    <row r="34" spans="1:8" ht="29.25" x14ac:dyDescent="0.25">
      <c r="B34" s="30" t="s">
        <v>40</v>
      </c>
      <c r="C34" s="56">
        <f>7600*12</f>
        <v>91200</v>
      </c>
      <c r="D34" s="29"/>
      <c r="E34" s="29"/>
      <c r="F34" s="29"/>
      <c r="G34" s="29"/>
      <c r="H34" s="29"/>
    </row>
    <row r="35" spans="1:8" ht="15.75" x14ac:dyDescent="0.25">
      <c r="A35" s="40">
        <v>10</v>
      </c>
      <c r="B35" s="30" t="s">
        <v>41</v>
      </c>
      <c r="C35" s="56">
        <v>110000</v>
      </c>
      <c r="D35" s="29"/>
      <c r="E35" s="29"/>
      <c r="F35" s="29"/>
      <c r="G35" s="29"/>
      <c r="H35" s="29"/>
    </row>
    <row r="36" spans="1:8" ht="15.75" x14ac:dyDescent="0.25">
      <c r="B36" s="33" t="s">
        <v>42</v>
      </c>
      <c r="C36" s="56">
        <v>350000</v>
      </c>
      <c r="D36" s="15"/>
      <c r="E36" s="15"/>
      <c r="F36" s="15"/>
      <c r="G36" s="15"/>
      <c r="H36" s="15"/>
    </row>
    <row r="37" spans="1:8" ht="29.25" x14ac:dyDescent="0.25">
      <c r="B37" s="41" t="s">
        <v>43</v>
      </c>
      <c r="C37" s="57">
        <v>390000</v>
      </c>
      <c r="D37" s="37"/>
      <c r="E37" s="37"/>
      <c r="F37" s="37"/>
      <c r="G37" s="37"/>
      <c r="H37" s="37"/>
    </row>
    <row r="38" spans="1:8" ht="15.75" x14ac:dyDescent="0.25">
      <c r="B38" s="25" t="s">
        <v>44</v>
      </c>
      <c r="C38" s="58">
        <v>57000</v>
      </c>
      <c r="D38" s="24">
        <f>C38/C5*D5</f>
        <v>13061.117722255711</v>
      </c>
      <c r="E38" s="24">
        <f>C38/C5*E5</f>
        <v>1514.260585337463</v>
      </c>
      <c r="F38" s="24">
        <f>C38/C5*F5</f>
        <v>34373.841173169269</v>
      </c>
      <c r="G38" s="24">
        <f>C38/C5*G5</f>
        <v>3515.1816707892499</v>
      </c>
      <c r="H38" s="24">
        <f>C38/C5*H5</f>
        <v>4535.5988484483159</v>
      </c>
    </row>
    <row r="39" spans="1:8" ht="15.75" x14ac:dyDescent="0.25">
      <c r="B39" s="25" t="s">
        <v>45</v>
      </c>
      <c r="C39" s="58">
        <v>500000</v>
      </c>
      <c r="D39" s="24">
        <f>C39/C5*D5</f>
        <v>114571.20808996238</v>
      </c>
      <c r="E39" s="24">
        <f>C39/C5*E5</f>
        <v>13282.9875906795</v>
      </c>
      <c r="F39" s="24">
        <f>C39/C5*F5</f>
        <v>301524.92257166025</v>
      </c>
      <c r="G39" s="24">
        <f>C39/C5*G5</f>
        <v>30834.926936747805</v>
      </c>
      <c r="H39" s="24">
        <f>C39/C5*H5</f>
        <v>39785.954810950141</v>
      </c>
    </row>
    <row r="40" spans="1:8" ht="15.75" x14ac:dyDescent="0.25">
      <c r="B40" s="27" t="s">
        <v>46</v>
      </c>
      <c r="C40" s="58">
        <v>61000</v>
      </c>
      <c r="D40" s="24">
        <f>C40/C5*D5</f>
        <v>13977.687386975411</v>
      </c>
      <c r="E40" s="24">
        <f>C40/C5*E5</f>
        <v>1620.5244860628991</v>
      </c>
      <c r="F40" s="24">
        <f>C40/C5*F5</f>
        <v>36786.040553742547</v>
      </c>
      <c r="G40" s="24">
        <f>C40/C5*G5</f>
        <v>3761.8610862832325</v>
      </c>
      <c r="H40" s="24">
        <f>C40/C5*H5</f>
        <v>4853.8864869359168</v>
      </c>
    </row>
    <row r="41" spans="1:8" ht="15.75" x14ac:dyDescent="0.25">
      <c r="B41" s="27" t="s">
        <v>47</v>
      </c>
      <c r="C41" s="28">
        <f>SUM(C42:C49)</f>
        <v>5738000</v>
      </c>
      <c r="D41" s="24">
        <f>SUM(D42:D49)</f>
        <v>1314819.1840404083</v>
      </c>
      <c r="E41" s="24">
        <f>SUM(E42:E49)</f>
        <v>152435.56559063794</v>
      </c>
      <c r="F41" s="24">
        <f>SUM(F42:F49)</f>
        <v>3460300.011432373</v>
      </c>
      <c r="G41" s="24">
        <f>SUM(G42:G49)</f>
        <v>353861.62152611779</v>
      </c>
      <c r="H41" s="24">
        <f>SUM(H42:H49)</f>
        <v>456583.61741046375</v>
      </c>
    </row>
    <row r="42" spans="1:8" ht="29.25" x14ac:dyDescent="0.25">
      <c r="A42" s="59" t="s">
        <v>48</v>
      </c>
      <c r="B42" s="30" t="s">
        <v>49</v>
      </c>
      <c r="C42" s="38">
        <v>690000</v>
      </c>
      <c r="D42" s="60">
        <f>C42/$C$5*$D$5</f>
        <v>158108.2671641481</v>
      </c>
      <c r="E42" s="60">
        <f>C42/$C$5*$E$5</f>
        <v>18330.522875137711</v>
      </c>
      <c r="F42" s="60">
        <f>C42/$C$5*$F$5</f>
        <v>416104.39314889116</v>
      </c>
      <c r="G42" s="60">
        <f>C42/$C$5*$G$5</f>
        <v>42552.199172711975</v>
      </c>
      <c r="H42" s="60">
        <f>C42/$C$5*$H$5</f>
        <v>54904.617639111195</v>
      </c>
    </row>
    <row r="43" spans="1:8" ht="15.75" x14ac:dyDescent="0.25">
      <c r="A43" s="61" t="s">
        <v>50</v>
      </c>
      <c r="B43" s="62" t="s">
        <v>51</v>
      </c>
      <c r="C43" s="38">
        <v>996000</v>
      </c>
      <c r="D43" s="60">
        <f>C43/$C$5*$D$5</f>
        <v>228225.84651520505</v>
      </c>
      <c r="E43" s="60">
        <f>C43/$C$5*$E$5</f>
        <v>26459.711280633564</v>
      </c>
      <c r="F43" s="60">
        <f>C43/$C$5*$F$5</f>
        <v>600637.64576274715</v>
      </c>
      <c r="G43" s="60">
        <f>C43/$C$5*$G$5</f>
        <v>61423.174458001624</v>
      </c>
      <c r="H43" s="60">
        <f>C43/$C$5*$H$5</f>
        <v>79253.621983412668</v>
      </c>
    </row>
    <row r="44" spans="1:8" ht="20.25" customHeight="1" x14ac:dyDescent="0.25">
      <c r="A44" s="61" t="s">
        <v>52</v>
      </c>
      <c r="B44" s="63" t="s">
        <v>53</v>
      </c>
      <c r="C44" s="38">
        <v>1202000</v>
      </c>
      <c r="D44" s="60">
        <f>C44/$C$5*$D$5</f>
        <v>275429.18424826954</v>
      </c>
      <c r="E44" s="60">
        <f>C44/$C$5*$E$5</f>
        <v>31932.302167993515</v>
      </c>
      <c r="F44" s="60">
        <f>C44/$C$5*$F$5</f>
        <v>724865.91386227112</v>
      </c>
      <c r="G44" s="60">
        <f>C44/$C$5*$G$5</f>
        <v>74127.164355941713</v>
      </c>
      <c r="H44" s="60">
        <f>C44/$C$5*$H$5</f>
        <v>95645.435365524128</v>
      </c>
    </row>
    <row r="45" spans="1:8" ht="15.75" x14ac:dyDescent="0.25">
      <c r="A45" s="59" t="s">
        <v>54</v>
      </c>
      <c r="B45" s="33" t="s">
        <v>55</v>
      </c>
      <c r="C45" s="38">
        <v>590000</v>
      </c>
      <c r="D45" s="60">
        <f>C45/$C$5*$D$5</f>
        <v>135194.02554615561</v>
      </c>
      <c r="E45" s="60">
        <f>C45/$C$5*$E$5</f>
        <v>15673.92535700181</v>
      </c>
      <c r="F45" s="60">
        <f>C45/$C$5*$F$5</f>
        <v>355799.40863455908</v>
      </c>
      <c r="G45" s="60">
        <f>C45/$C$5*$G$5</f>
        <v>36385.213785362408</v>
      </c>
      <c r="H45" s="60">
        <f>C45/$C$5*$H$5</f>
        <v>46947.426676921161</v>
      </c>
    </row>
    <row r="46" spans="1:8" ht="15.75" x14ac:dyDescent="0.25">
      <c r="A46" s="59"/>
      <c r="B46" s="33" t="s">
        <v>56</v>
      </c>
      <c r="C46" s="38">
        <v>1243000</v>
      </c>
      <c r="D46" s="60">
        <f>C46/$C$5*$D$5</f>
        <v>284824.02331164648</v>
      </c>
      <c r="E46" s="60">
        <f>C46/$C$5*$E$5</f>
        <v>33021.507150429243</v>
      </c>
      <c r="F46" s="60">
        <f>C46/$C$5*$F$5</f>
        <v>749590.95751314738</v>
      </c>
      <c r="G46" s="60">
        <f>C46/$C$5*$G$5</f>
        <v>76655.628364755044</v>
      </c>
      <c r="H46" s="60">
        <f>C46/$C$5*$H$5</f>
        <v>98907.883660022053</v>
      </c>
    </row>
    <row r="47" spans="1:8" ht="15.75" x14ac:dyDescent="0.25">
      <c r="A47" s="59"/>
      <c r="B47" s="30" t="s">
        <v>57</v>
      </c>
      <c r="C47" s="38">
        <v>390000</v>
      </c>
      <c r="D47" s="60">
        <f>C47/$C$5*$D$5</f>
        <v>89365.542310170655</v>
      </c>
      <c r="E47" s="60">
        <f>C47/$C$5*$E$5</f>
        <v>10360.73032073001</v>
      </c>
      <c r="F47" s="60">
        <f>C47/$C$5*$F$5</f>
        <v>235189.43960589496</v>
      </c>
      <c r="G47" s="60">
        <f>C47/$C$5*$G$5</f>
        <v>24051.243010663286</v>
      </c>
      <c r="H47" s="60">
        <f>C47/$C$5*$H$5</f>
        <v>31033.044752541107</v>
      </c>
    </row>
    <row r="48" spans="1:8" ht="15.75" x14ac:dyDescent="0.25">
      <c r="A48" s="59" t="s">
        <v>58</v>
      </c>
      <c r="B48" s="30" t="s">
        <v>59</v>
      </c>
      <c r="C48" s="38">
        <v>240000</v>
      </c>
      <c r="D48" s="60">
        <f>C48/$C$5*$D$5</f>
        <v>54994.17988318194</v>
      </c>
      <c r="E48" s="60">
        <f>C48/$C$5*$E$5</f>
        <v>6375.8340435261607</v>
      </c>
      <c r="F48" s="60">
        <f>C48/$C$5*$F$5</f>
        <v>144731.96283439692</v>
      </c>
      <c r="G48" s="60">
        <f>C48/$C$5*$G$5</f>
        <v>14800.764929638946</v>
      </c>
      <c r="H48" s="60">
        <f>C48/$C$5*$H$5</f>
        <v>19097.258309256067</v>
      </c>
    </row>
    <row r="49" spans="1:8" ht="15.75" x14ac:dyDescent="0.25">
      <c r="A49" s="59" t="s">
        <v>60</v>
      </c>
      <c r="B49" s="33" t="s">
        <v>61</v>
      </c>
      <c r="C49" s="38">
        <v>387000</v>
      </c>
      <c r="D49" s="60">
        <f>C49/$C$5*$D$5</f>
        <v>88678.115061630873</v>
      </c>
      <c r="E49" s="60">
        <f>C49/$C$5*$E$5</f>
        <v>10281.032395185934</v>
      </c>
      <c r="F49" s="60">
        <f>C49/$C$5*$F$5</f>
        <v>233380.29007046501</v>
      </c>
      <c r="G49" s="60">
        <f>C49/$C$5*$G$5</f>
        <v>23866.2334490428</v>
      </c>
      <c r="H49" s="60">
        <f>C49/$C$5*$H$5</f>
        <v>30794.329023675407</v>
      </c>
    </row>
    <row r="50" spans="1:8" ht="15.75" x14ac:dyDescent="0.25">
      <c r="B50" s="27" t="s">
        <v>62</v>
      </c>
      <c r="C50" s="58">
        <f>SUM(C51:C56)</f>
        <v>3600000</v>
      </c>
      <c r="D50" s="54"/>
      <c r="E50" s="54">
        <f>SUM(E51:E56)</f>
        <v>1002593.8249974236</v>
      </c>
      <c r="F50" s="54"/>
      <c r="G50" s="54">
        <f>SUM(G51:G56)</f>
        <v>2597406.1750025768</v>
      </c>
      <c r="H50" s="54"/>
    </row>
    <row r="51" spans="1:8" ht="15.75" x14ac:dyDescent="0.25">
      <c r="A51" s="59" t="s">
        <v>63</v>
      </c>
      <c r="B51" s="30" t="s">
        <v>64</v>
      </c>
      <c r="C51" s="58">
        <v>1400000</v>
      </c>
      <c r="D51" s="64"/>
      <c r="E51" s="54">
        <f>C51/6791.9*2044.9</f>
        <v>421510.91741633421</v>
      </c>
      <c r="F51" s="54"/>
      <c r="G51" s="54">
        <f>C51/6791.9*4747</f>
        <v>978489.08258366596</v>
      </c>
      <c r="H51" s="54"/>
    </row>
    <row r="52" spans="1:8" ht="15.75" x14ac:dyDescent="0.25">
      <c r="A52" s="59" t="s">
        <v>65</v>
      </c>
      <c r="B52" s="30" t="s">
        <v>66</v>
      </c>
      <c r="C52" s="58">
        <v>460000</v>
      </c>
      <c r="D52" s="64"/>
      <c r="E52" s="54">
        <f>C52/6791.9*2044.9</f>
        <v>138496.44429393837</v>
      </c>
      <c r="F52" s="54"/>
      <c r="G52" s="54">
        <f>C52/6791.9*4747</f>
        <v>321503.5557060616</v>
      </c>
      <c r="H52" s="54"/>
    </row>
    <row r="53" spans="1:8" ht="29.25" x14ac:dyDescent="0.25">
      <c r="A53" s="59"/>
      <c r="B53" s="30" t="s">
        <v>67</v>
      </c>
      <c r="C53" s="44">
        <v>640000</v>
      </c>
      <c r="D53" s="65"/>
      <c r="E53" s="54">
        <f>C53/6791.9*2044.9</f>
        <v>192690.70510460992</v>
      </c>
      <c r="F53" s="46"/>
      <c r="G53" s="54">
        <f>C53/6791.9*4747</f>
        <v>447309.29489539017</v>
      </c>
      <c r="H53" s="54"/>
    </row>
    <row r="54" spans="1:8" ht="15.75" x14ac:dyDescent="0.25">
      <c r="A54" s="59" t="s">
        <v>68</v>
      </c>
      <c r="B54" s="33" t="s">
        <v>69</v>
      </c>
      <c r="C54" s="58">
        <v>290000</v>
      </c>
      <c r="D54" s="64"/>
      <c r="E54" s="54">
        <f>C54/6791.9*2044.9</f>
        <v>87312.97575052637</v>
      </c>
      <c r="F54" s="54"/>
      <c r="G54" s="54">
        <f>C54/6791.9*4747</f>
        <v>202687.02424947367</v>
      </c>
      <c r="H54" s="54"/>
    </row>
    <row r="55" spans="1:8" ht="15.75" x14ac:dyDescent="0.25">
      <c r="A55" s="59"/>
      <c r="B55" s="30" t="s">
        <v>70</v>
      </c>
      <c r="C55" s="58">
        <v>270000</v>
      </c>
      <c r="D55" s="64"/>
      <c r="E55" s="54"/>
      <c r="F55" s="54"/>
      <c r="G55" s="54">
        <v>270000</v>
      </c>
      <c r="H55" s="54"/>
    </row>
    <row r="56" spans="1:8" ht="15.75" x14ac:dyDescent="0.25">
      <c r="A56" s="59" t="s">
        <v>71</v>
      </c>
      <c r="B56" s="30" t="s">
        <v>72</v>
      </c>
      <c r="C56" s="58">
        <v>540000</v>
      </c>
      <c r="D56" s="64"/>
      <c r="E56" s="54">
        <f>C56/6791.9*2044.9</f>
        <v>162582.78243201462</v>
      </c>
      <c r="F56" s="54"/>
      <c r="G56" s="54">
        <f>C56/6791.9*4747</f>
        <v>377417.21756798541</v>
      </c>
      <c r="H56" s="54"/>
    </row>
    <row r="57" spans="1:8" ht="15.75" x14ac:dyDescent="0.25">
      <c r="B57" s="66" t="s">
        <v>73</v>
      </c>
      <c r="C57" s="55">
        <f>SUM(C58:C64)</f>
        <v>3413000</v>
      </c>
      <c r="D57" s="67">
        <f>C57/C5*D5</f>
        <v>782063.06642208318</v>
      </c>
      <c r="E57" s="54">
        <f>C57/C5*E5</f>
        <v>90669.673293978267</v>
      </c>
      <c r="F57" s="68">
        <f>C57/C5*F5</f>
        <v>2058209.1214741527</v>
      </c>
      <c r="G57" s="54">
        <f>C57/C5*G5</f>
        <v>210479.21127024051</v>
      </c>
      <c r="H57" s="64">
        <f>C57/C5*H5</f>
        <v>271578.92753954564</v>
      </c>
    </row>
    <row r="58" spans="1:8" ht="29.25" x14ac:dyDescent="0.25">
      <c r="B58" s="47" t="s">
        <v>74</v>
      </c>
      <c r="C58" s="48">
        <v>370000</v>
      </c>
      <c r="D58" s="29"/>
      <c r="E58" s="29"/>
      <c r="F58" s="29"/>
      <c r="G58" s="29"/>
      <c r="H58" s="29"/>
    </row>
    <row r="59" spans="1:8" ht="15.75" x14ac:dyDescent="0.25">
      <c r="B59" s="47" t="s">
        <v>75</v>
      </c>
      <c r="C59" s="48">
        <v>270000</v>
      </c>
      <c r="D59" s="29"/>
      <c r="E59" s="29"/>
      <c r="F59" s="29"/>
      <c r="G59" s="29"/>
      <c r="H59" s="29"/>
    </row>
    <row r="60" spans="1:8" ht="15.75" x14ac:dyDescent="0.25">
      <c r="B60" s="47" t="s">
        <v>76</v>
      </c>
      <c r="C60" s="48">
        <v>1178000</v>
      </c>
      <c r="D60" s="29"/>
      <c r="E60" s="29"/>
      <c r="F60" s="29"/>
      <c r="G60" s="29"/>
      <c r="H60" s="29"/>
    </row>
    <row r="61" spans="1:8" ht="15.75" x14ac:dyDescent="0.25">
      <c r="A61" s="59" t="s">
        <v>77</v>
      </c>
      <c r="B61" s="47" t="s">
        <v>78</v>
      </c>
      <c r="C61" s="48">
        <v>225000</v>
      </c>
      <c r="D61" s="29"/>
      <c r="E61" s="29"/>
      <c r="F61" s="29"/>
      <c r="G61" s="29"/>
      <c r="H61" s="29"/>
    </row>
    <row r="62" spans="1:8" ht="29.25" x14ac:dyDescent="0.25">
      <c r="A62" s="59"/>
      <c r="B62" s="47" t="s">
        <v>79</v>
      </c>
      <c r="C62" s="48">
        <v>1185000</v>
      </c>
      <c r="D62" s="29"/>
      <c r="E62" s="29"/>
      <c r="F62" s="29"/>
      <c r="G62" s="29"/>
      <c r="H62" s="29"/>
    </row>
    <row r="63" spans="1:8" ht="29.25" x14ac:dyDescent="0.25">
      <c r="A63" s="59" t="s">
        <v>80</v>
      </c>
      <c r="B63" s="47" t="s">
        <v>81</v>
      </c>
      <c r="C63" s="48">
        <v>95000</v>
      </c>
      <c r="D63" s="29"/>
      <c r="E63" s="29"/>
      <c r="F63" s="29"/>
      <c r="G63" s="29"/>
      <c r="H63" s="29"/>
    </row>
    <row r="64" spans="1:8" ht="15.75" x14ac:dyDescent="0.25">
      <c r="B64" s="47" t="s">
        <v>82</v>
      </c>
      <c r="C64" s="50">
        <v>90000</v>
      </c>
      <c r="D64" s="69"/>
      <c r="E64" s="69"/>
      <c r="F64" s="69"/>
      <c r="G64" s="69"/>
      <c r="H64" s="69"/>
    </row>
    <row r="65" spans="1:9" ht="15.75" x14ac:dyDescent="0.25">
      <c r="B65" s="27" t="s">
        <v>83</v>
      </c>
      <c r="C65" s="70">
        <f>SUM(C66:C69)</f>
        <v>1800000</v>
      </c>
      <c r="D65" s="29">
        <f>C65/C5*D5</f>
        <v>412456.34912386455</v>
      </c>
      <c r="E65" s="29">
        <f>C65/C5*E5</f>
        <v>47818.755326446197</v>
      </c>
      <c r="F65" s="29">
        <f>C65/C5*F5</f>
        <v>1085489.7212579767</v>
      </c>
      <c r="G65" s="29">
        <f>C65/C5*G5</f>
        <v>111005.73697229208</v>
      </c>
      <c r="H65" s="29">
        <f>C65/C5*H5</f>
        <v>143229.43731942048</v>
      </c>
    </row>
    <row r="66" spans="1:9" ht="15.75" x14ac:dyDescent="0.25">
      <c r="B66" s="33" t="s">
        <v>84</v>
      </c>
      <c r="C66" s="70">
        <v>500000</v>
      </c>
      <c r="D66" s="29"/>
      <c r="E66" s="29"/>
      <c r="F66" s="29"/>
      <c r="G66" s="29"/>
      <c r="H66" s="29"/>
    </row>
    <row r="67" spans="1:9" ht="15.75" x14ac:dyDescent="0.25">
      <c r="B67" s="33" t="s">
        <v>85</v>
      </c>
      <c r="C67" s="71">
        <v>480000</v>
      </c>
      <c r="D67" s="29"/>
      <c r="E67" s="29"/>
      <c r="F67" s="29"/>
      <c r="G67" s="29"/>
      <c r="H67" s="29"/>
    </row>
    <row r="68" spans="1:9" s="75" customFormat="1" ht="15.75" x14ac:dyDescent="0.25">
      <c r="A68" s="72"/>
      <c r="B68" s="73" t="s">
        <v>86</v>
      </c>
      <c r="C68" s="74">
        <v>400000</v>
      </c>
      <c r="D68" s="29"/>
      <c r="E68" s="29"/>
      <c r="F68" s="29"/>
      <c r="G68" s="29"/>
      <c r="H68" s="29"/>
    </row>
    <row r="69" spans="1:9" ht="15.75" x14ac:dyDescent="0.25">
      <c r="B69" s="76" t="s">
        <v>87</v>
      </c>
      <c r="C69" s="71">
        <v>420000</v>
      </c>
      <c r="D69" s="69"/>
      <c r="E69" s="69"/>
      <c r="F69" s="69"/>
      <c r="G69" s="69"/>
      <c r="H69" s="69"/>
    </row>
    <row r="70" spans="1:9" ht="15.75" x14ac:dyDescent="0.25">
      <c r="B70" s="66" t="s">
        <v>88</v>
      </c>
      <c r="C70" s="58">
        <f>SUM(C71:C72)</f>
        <v>280000</v>
      </c>
      <c r="D70" s="77">
        <f>C70/C5*D5</f>
        <v>64159.876530378933</v>
      </c>
      <c r="E70" s="29">
        <f>C70/C5*E5</f>
        <v>7438.4730507805207</v>
      </c>
      <c r="F70" s="29">
        <f>C70/C5*F5</f>
        <v>168853.95664012973</v>
      </c>
      <c r="G70" s="29">
        <f>C70/C5*G5</f>
        <v>17267.55908457877</v>
      </c>
      <c r="H70" s="29">
        <f>C70/C5*H5</f>
        <v>22280.134694132077</v>
      </c>
    </row>
    <row r="71" spans="1:9" ht="15.75" x14ac:dyDescent="0.25">
      <c r="B71" s="78" t="s">
        <v>89</v>
      </c>
      <c r="C71" s="48">
        <v>60000</v>
      </c>
      <c r="D71" s="32"/>
      <c r="E71" s="15"/>
      <c r="F71" s="15"/>
      <c r="G71" s="15"/>
      <c r="H71" s="15"/>
    </row>
    <row r="72" spans="1:9" ht="15.75" x14ac:dyDescent="0.25">
      <c r="B72" s="78" t="s">
        <v>90</v>
      </c>
      <c r="C72" s="50">
        <v>220000</v>
      </c>
      <c r="D72" s="32"/>
      <c r="E72" s="15"/>
      <c r="F72" s="15"/>
      <c r="G72" s="15"/>
      <c r="H72" s="15"/>
    </row>
    <row r="73" spans="1:9" ht="15.75" x14ac:dyDescent="0.25">
      <c r="B73" s="25" t="s">
        <v>91</v>
      </c>
      <c r="C73" s="79">
        <v>500000</v>
      </c>
      <c r="D73" s="24">
        <f>C73/C5*D5</f>
        <v>114571.20808996238</v>
      </c>
      <c r="E73" s="54">
        <f>C73/C5*E5</f>
        <v>13282.9875906795</v>
      </c>
      <c r="F73" s="54">
        <f>C73/C5*F5</f>
        <v>301524.92257166025</v>
      </c>
      <c r="G73" s="54">
        <f>C73/C5*G5</f>
        <v>30834.926936747805</v>
      </c>
      <c r="H73" s="54">
        <f>C73/C5*H5</f>
        <v>39785.954810950141</v>
      </c>
    </row>
    <row r="74" spans="1:9" ht="15.75" x14ac:dyDescent="0.25">
      <c r="B74" s="15" t="s">
        <v>92</v>
      </c>
      <c r="C74" s="52">
        <f>SUM(C75:C79)</f>
        <v>3510000</v>
      </c>
      <c r="D74" s="24">
        <f>(C74-998000)/70849.4*17638.1</f>
        <v>625367.4300699794</v>
      </c>
      <c r="E74" s="24">
        <f>(C74-998000)/70849.4*2044.9</f>
        <v>72502.925924566764</v>
      </c>
      <c r="F74" s="24">
        <f>(C74-998000)/70849.4*46419.4</f>
        <v>1645822.4459205018</v>
      </c>
      <c r="G74" s="24">
        <f>(C74-998000)/70849.4*4747</f>
        <v>168307.19808495202</v>
      </c>
      <c r="H74" s="54">
        <v>998000</v>
      </c>
      <c r="I74" s="80"/>
    </row>
    <row r="75" spans="1:9" ht="37.5" customHeight="1" x14ac:dyDescent="0.25">
      <c r="B75" s="62" t="s">
        <v>93</v>
      </c>
      <c r="C75" s="81">
        <v>2040000</v>
      </c>
      <c r="D75" s="24"/>
      <c r="E75" s="24"/>
      <c r="F75" s="24"/>
      <c r="G75" s="24"/>
      <c r="H75" s="24"/>
    </row>
    <row r="76" spans="1:9" ht="29.25" x14ac:dyDescent="0.25">
      <c r="B76" s="30" t="s">
        <v>94</v>
      </c>
      <c r="C76" s="81">
        <v>800000</v>
      </c>
      <c r="D76" s="24"/>
      <c r="E76" s="24"/>
      <c r="F76" s="24"/>
      <c r="G76" s="24"/>
      <c r="H76" s="24"/>
    </row>
    <row r="77" spans="1:9" ht="19.5" customHeight="1" x14ac:dyDescent="0.25">
      <c r="B77" s="30" t="s">
        <v>95</v>
      </c>
      <c r="C77" s="81">
        <v>200000</v>
      </c>
      <c r="D77" s="24"/>
      <c r="E77" s="24"/>
      <c r="F77" s="24"/>
      <c r="G77" s="24"/>
      <c r="H77" s="24"/>
    </row>
    <row r="78" spans="1:9" ht="29.25" x14ac:dyDescent="0.25">
      <c r="B78" s="30" t="s">
        <v>96</v>
      </c>
      <c r="C78" s="81">
        <v>220000</v>
      </c>
      <c r="D78" s="24"/>
      <c r="E78" s="24"/>
      <c r="F78" s="24"/>
      <c r="G78" s="24"/>
      <c r="H78" s="24"/>
    </row>
    <row r="79" spans="1:9" ht="15.75" x14ac:dyDescent="0.25">
      <c r="B79" s="33" t="s">
        <v>97</v>
      </c>
      <c r="C79" s="81">
        <v>250000</v>
      </c>
      <c r="D79" s="24"/>
      <c r="E79" s="24"/>
      <c r="F79" s="24"/>
      <c r="G79" s="24"/>
      <c r="H79" s="24"/>
    </row>
    <row r="80" spans="1:9" ht="15.75" x14ac:dyDescent="0.25">
      <c r="B80" s="12" t="s">
        <v>98</v>
      </c>
      <c r="C80" s="82">
        <f>C74+C73+C70+C65+C57+C50+C41+C40+C39+C38+C33++C32+C31+C30+C22+C15+C10+C9+C7+C8</f>
        <v>60160417</v>
      </c>
      <c r="D80" s="83">
        <f>D74+D73+D70+D65+D57+D50+D41+D40+D39+D38+D33+D32+D31+D30+D22+D15+D10+D9+D8+D7</f>
        <v>12972732.38826922</v>
      </c>
      <c r="E80" s="83">
        <f>E74+E73+E70+E65+E57+E50+E41+E40+E39+E38+E33+E32+E31+E30+E22+E15+E10+E9+E8+E7</f>
        <v>2506607.3219597796</v>
      </c>
      <c r="F80" s="83">
        <f>F74+F73+F70+F65+F57+F50+F41+F40+F39+F38+F33+F32+F31+F30+F22+F15+F10+F9+F8+F7</f>
        <v>34141231.415176481</v>
      </c>
      <c r="G80" s="83">
        <f>G74+G73+G70+G65+G57+G50+G41+G40+G39+G38+G33+G32+G31+G30+G22+G15+G10+G9+G8+G7</f>
        <v>5724350.3289975459</v>
      </c>
      <c r="H80" s="83">
        <f>H74+H73+H70+H65+H57+H50+H41+H40+H39+H38+H33+H32+H31+H30+H22+H15+H10+H9+H8+H7</f>
        <v>4815495.5455969777</v>
      </c>
      <c r="I80" s="84"/>
    </row>
    <row r="81" spans="2:8" ht="15.75" x14ac:dyDescent="0.25">
      <c r="B81" s="85" t="s">
        <v>99</v>
      </c>
      <c r="C81" s="58"/>
      <c r="D81" s="69">
        <f>D80/D5</f>
        <v>735.49488824018579</v>
      </c>
      <c r="E81" s="69">
        <f>E80/E5</f>
        <v>1225.7847923907182</v>
      </c>
      <c r="F81" s="69">
        <f>F80/F5</f>
        <v>735.49488824018579</v>
      </c>
      <c r="G81" s="69">
        <f>G80/G5</f>
        <v>1205.8879985248675</v>
      </c>
      <c r="H81" s="69">
        <f>H80/H5</f>
        <v>786.20335438318</v>
      </c>
    </row>
    <row r="82" spans="2:8" ht="15.75" x14ac:dyDescent="0.25">
      <c r="B82" s="86" t="s">
        <v>100</v>
      </c>
      <c r="C82" s="87"/>
      <c r="D82" s="88">
        <f>D81/12</f>
        <v>61.291240686682151</v>
      </c>
      <c r="E82" s="88">
        <f>E81/12</f>
        <v>102.14873269922651</v>
      </c>
      <c r="F82" s="88">
        <f>F81/12</f>
        <v>61.291240686682151</v>
      </c>
      <c r="G82" s="88">
        <f>G81/12</f>
        <v>100.49066654373895</v>
      </c>
      <c r="H82" s="88">
        <f>H81/12</f>
        <v>65.516946198598333</v>
      </c>
    </row>
    <row r="83" spans="2:8" ht="15.75" x14ac:dyDescent="0.25">
      <c r="B83" s="15" t="s">
        <v>101</v>
      </c>
      <c r="C83" s="52">
        <v>1798000</v>
      </c>
      <c r="D83" s="29">
        <f>C83/C5*D5</f>
        <v>411998.06429150468</v>
      </c>
      <c r="E83" s="29">
        <f>C83/C5*E5</f>
        <v>47765.62337608348</v>
      </c>
      <c r="F83" s="29">
        <f>C83/C5*F5</f>
        <v>1084283.62156769</v>
      </c>
      <c r="G83" s="29">
        <f>C83/C5*G5</f>
        <v>110882.3972645451</v>
      </c>
      <c r="H83" s="29">
        <f>C83/C5*H5</f>
        <v>143070.29350017669</v>
      </c>
    </row>
    <row r="84" spans="2:8" ht="15.75" x14ac:dyDescent="0.25">
      <c r="B84" s="89" t="s">
        <v>102</v>
      </c>
      <c r="C84" s="90"/>
      <c r="D84" s="91">
        <f>D83/D5/12</f>
        <v>1.9465346054445807</v>
      </c>
      <c r="E84" s="91">
        <f>E83/E5/12</f>
        <v>1.9465346054445807</v>
      </c>
      <c r="F84" s="91">
        <f>F83/F5/12</f>
        <v>1.9465346054445807</v>
      </c>
      <c r="G84" s="91">
        <f>G83/G5/12</f>
        <v>1.9465346054445807</v>
      </c>
      <c r="H84" s="91">
        <f>H83/H5/12</f>
        <v>1.9465346054445807</v>
      </c>
    </row>
    <row r="85" spans="2:8" ht="15.75" x14ac:dyDescent="0.25">
      <c r="B85" s="92" t="s">
        <v>103</v>
      </c>
      <c r="C85" s="20">
        <f>SUM(C80:C84)</f>
        <v>61958417</v>
      </c>
      <c r="D85" s="88">
        <f>D82+D84</f>
        <v>63.237775292126734</v>
      </c>
      <c r="E85" s="88">
        <f>E82+E84</f>
        <v>104.0952673046711</v>
      </c>
      <c r="F85" s="88">
        <f>F82+F84</f>
        <v>63.237775292126734</v>
      </c>
      <c r="G85" s="88">
        <f>G82+G84</f>
        <v>102.43720114918354</v>
      </c>
      <c r="H85" s="88">
        <f>H82+H84</f>
        <v>67.463480804042916</v>
      </c>
    </row>
    <row r="86" spans="2:8" ht="15.75" x14ac:dyDescent="0.25">
      <c r="B86" s="93"/>
      <c r="C86" s="94"/>
      <c r="D86" s="95"/>
      <c r="E86" s="95"/>
      <c r="F86" s="95"/>
      <c r="G86" s="95"/>
      <c r="H86" s="95"/>
    </row>
    <row r="87" spans="2:8" ht="31.5" x14ac:dyDescent="0.25">
      <c r="B87" s="96" t="s">
        <v>104</v>
      </c>
      <c r="C87" s="97">
        <v>11530350</v>
      </c>
      <c r="D87" s="98">
        <f>C87/64057.5*17638.1</f>
        <v>3174857.9999999995</v>
      </c>
      <c r="E87" s="98">
        <v>0</v>
      </c>
      <c r="F87" s="98">
        <f>C87/64057.5*46419.4</f>
        <v>8355492</v>
      </c>
      <c r="G87" s="99">
        <v>0</v>
      </c>
      <c r="H87" s="99">
        <v>0</v>
      </c>
    </row>
    <row r="88" spans="2:8" ht="15.75" x14ac:dyDescent="0.25">
      <c r="B88" s="100" t="s">
        <v>99</v>
      </c>
      <c r="C88" s="101"/>
      <c r="D88" s="102">
        <f>D87/D5</f>
        <v>180</v>
      </c>
      <c r="E88" s="98">
        <f>E87/E5</f>
        <v>0</v>
      </c>
      <c r="F88" s="98">
        <f>F87/F5</f>
        <v>180</v>
      </c>
      <c r="G88" s="98">
        <f>G87/G5</f>
        <v>0</v>
      </c>
      <c r="H88" s="98">
        <f>H87/H5</f>
        <v>0</v>
      </c>
    </row>
    <row r="89" spans="2:8" ht="15.75" x14ac:dyDescent="0.25">
      <c r="B89" s="103" t="s">
        <v>102</v>
      </c>
      <c r="C89" s="104"/>
      <c r="D89" s="105">
        <f>D87/17638.1/12</f>
        <v>15</v>
      </c>
      <c r="E89" s="106"/>
      <c r="F89" s="105">
        <f>F87/46419.4/12</f>
        <v>15</v>
      </c>
      <c r="G89" s="106"/>
      <c r="H89" s="106"/>
    </row>
    <row r="90" spans="2:8" ht="15.75" x14ac:dyDescent="0.25">
      <c r="B90" s="107" t="s">
        <v>105</v>
      </c>
      <c r="C90" s="108">
        <v>8577147</v>
      </c>
      <c r="D90" s="109">
        <f>(C90-H90)/(C5-H5)*D5</f>
        <v>1897424.2942466468</v>
      </c>
      <c r="E90" s="109">
        <f>(C90-H90)/(C5-H5)*E5</f>
        <v>219980.77680163784</v>
      </c>
      <c r="F90" s="109">
        <f>(C90-H90)/(C5-H5)*F5</f>
        <v>4993581.9212019891</v>
      </c>
      <c r="G90" s="109">
        <f>(C90-H90)/(C5-H5)*G5</f>
        <v>510660.05549287237</v>
      </c>
      <c r="H90" s="109">
        <f>C90/C5*H5*1.4</f>
        <v>955499.95225685427</v>
      </c>
    </row>
    <row r="91" spans="2:8" ht="15.75" x14ac:dyDescent="0.25">
      <c r="B91" s="100" t="s">
        <v>99</v>
      </c>
      <c r="C91" s="110"/>
      <c r="D91" s="102">
        <f>D90/D5</f>
        <v>107.57532241265481</v>
      </c>
      <c r="E91" s="98">
        <f>E90/E5</f>
        <v>107.57532241265481</v>
      </c>
      <c r="F91" s="98">
        <f>F90/F5</f>
        <v>107.57532241265481</v>
      </c>
      <c r="G91" s="98">
        <f>G90/G5</f>
        <v>107.57532241265481</v>
      </c>
      <c r="H91" s="98">
        <f>H90/H5</f>
        <v>155.9999922052007</v>
      </c>
    </row>
    <row r="92" spans="2:8" ht="15.75" x14ac:dyDescent="0.25">
      <c r="B92" s="103" t="s">
        <v>102</v>
      </c>
      <c r="C92" s="104"/>
      <c r="D92" s="111">
        <f>D91/12</f>
        <v>8.9646102010545672</v>
      </c>
      <c r="E92" s="112">
        <f>E91/12</f>
        <v>8.9646102010545672</v>
      </c>
      <c r="F92" s="112">
        <f>F91/12</f>
        <v>8.9646102010545672</v>
      </c>
      <c r="G92" s="112">
        <f>G91/12</f>
        <v>8.9646102010545672</v>
      </c>
      <c r="H92" s="112">
        <f>H91/12</f>
        <v>12.999999350433391</v>
      </c>
    </row>
    <row r="93" spans="2:8" ht="15.75" x14ac:dyDescent="0.25">
      <c r="B93" s="113" t="s">
        <v>106</v>
      </c>
      <c r="C93" s="97">
        <v>2862444</v>
      </c>
      <c r="D93" s="98">
        <f>C93/C5*D5</f>
        <v>655907.33433972858</v>
      </c>
      <c r="E93" s="109">
        <f>C93/C5*E5</f>
        <v>76043.616262029987</v>
      </c>
      <c r="F93" s="109">
        <f>C93/C5*F5</f>
        <v>1726196.4109314268</v>
      </c>
      <c r="G93" s="109">
        <f>C93/C5*G5</f>
        <v>176526.50320106428</v>
      </c>
      <c r="H93" s="109">
        <f>C93/C5*H5</f>
        <v>227770.13526575072</v>
      </c>
    </row>
    <row r="94" spans="2:8" ht="15.75" x14ac:dyDescent="0.25">
      <c r="B94" s="100" t="s">
        <v>99</v>
      </c>
      <c r="C94" s="101"/>
      <c r="D94" s="114">
        <f>D93/D5</f>
        <v>37.186960859714404</v>
      </c>
      <c r="E94" s="114">
        <f>E93/E5</f>
        <v>37.186960859714404</v>
      </c>
      <c r="F94" s="114">
        <f>F93/F5</f>
        <v>37.186960859714404</v>
      </c>
      <c r="G94" s="114">
        <f>G93/G5</f>
        <v>37.186960859714404</v>
      </c>
      <c r="H94" s="114">
        <f>H93/H5</f>
        <v>37.186960859714404</v>
      </c>
    </row>
    <row r="95" spans="2:8" ht="15.75" x14ac:dyDescent="0.25">
      <c r="B95" s="103" t="s">
        <v>102</v>
      </c>
      <c r="C95" s="104"/>
      <c r="D95" s="115">
        <f>D94/12</f>
        <v>3.0989134049762002</v>
      </c>
      <c r="E95" s="115">
        <f>E94/12</f>
        <v>3.0989134049762002</v>
      </c>
      <c r="F95" s="115">
        <f>F94/12</f>
        <v>3.0989134049762002</v>
      </c>
      <c r="G95" s="115">
        <f>G94/12</f>
        <v>3.0989134049762002</v>
      </c>
      <c r="H95" s="115">
        <f>H94/12</f>
        <v>3.0989134049762002</v>
      </c>
    </row>
    <row r="96" spans="2:8" ht="15.75" x14ac:dyDescent="0.25">
      <c r="B96" s="116" t="s">
        <v>107</v>
      </c>
      <c r="C96" s="117">
        <v>1835000</v>
      </c>
      <c r="D96" s="118"/>
      <c r="E96" s="118"/>
      <c r="F96" s="118"/>
      <c r="G96" s="118"/>
      <c r="H96" s="118"/>
    </row>
    <row r="97" spans="1:8" ht="15.75" x14ac:dyDescent="0.25">
      <c r="B97" s="119" t="s">
        <v>108</v>
      </c>
      <c r="C97" s="120"/>
      <c r="D97" s="121">
        <v>284</v>
      </c>
      <c r="E97" s="122"/>
      <c r="F97" s="122">
        <v>284</v>
      </c>
      <c r="G97" s="122"/>
      <c r="H97" s="122"/>
    </row>
    <row r="98" spans="1:8" ht="5.25" customHeight="1" x14ac:dyDescent="0.25">
      <c r="F98" s="123"/>
      <c r="G98" s="123"/>
      <c r="H98" s="123"/>
    </row>
    <row r="99" spans="1:8" ht="18" x14ac:dyDescent="0.25">
      <c r="B99" s="124" t="s">
        <v>109</v>
      </c>
      <c r="C99" s="125"/>
      <c r="D99" s="123"/>
      <c r="E99" s="123"/>
      <c r="F99" s="123"/>
      <c r="G99" s="123"/>
      <c r="H99" s="123"/>
    </row>
    <row r="100" spans="1:8" ht="15.75" x14ac:dyDescent="0.25">
      <c r="B100" s="126" t="s">
        <v>110</v>
      </c>
      <c r="C100" s="127"/>
      <c r="D100" s="128" t="s">
        <v>3</v>
      </c>
      <c r="E100" s="129"/>
      <c r="F100" s="130" t="s">
        <v>4</v>
      </c>
      <c r="G100" s="128"/>
      <c r="H100" s="131" t="s">
        <v>5</v>
      </c>
    </row>
    <row r="101" spans="1:8" ht="15.75" x14ac:dyDescent="0.25">
      <c r="B101" s="132"/>
      <c r="C101" s="133"/>
      <c r="D101" s="129" t="s">
        <v>7</v>
      </c>
      <c r="E101" s="134" t="s">
        <v>8</v>
      </c>
      <c r="F101" s="134" t="s">
        <v>7</v>
      </c>
      <c r="G101" s="135" t="s">
        <v>9</v>
      </c>
      <c r="H101" s="136" t="s">
        <v>10</v>
      </c>
    </row>
    <row r="102" spans="1:8" ht="15.75" x14ac:dyDescent="0.25">
      <c r="B102" s="137" t="s">
        <v>111</v>
      </c>
      <c r="C102" s="138"/>
      <c r="D102" s="139">
        <v>63.2</v>
      </c>
      <c r="E102" s="139">
        <v>104.1</v>
      </c>
      <c r="F102" s="139">
        <v>63.2</v>
      </c>
      <c r="G102" s="139">
        <v>102.4</v>
      </c>
      <c r="H102" s="139">
        <v>66.400000000000006</v>
      </c>
    </row>
    <row r="103" spans="1:8" ht="15.75" x14ac:dyDescent="0.25">
      <c r="B103" s="137" t="s">
        <v>112</v>
      </c>
      <c r="C103" s="138"/>
      <c r="D103" s="139">
        <v>3.1</v>
      </c>
      <c r="E103" s="139">
        <v>3.1</v>
      </c>
      <c r="F103" s="139">
        <v>3.1</v>
      </c>
      <c r="G103" s="139">
        <v>3.1</v>
      </c>
      <c r="H103" s="139">
        <v>3.1</v>
      </c>
    </row>
    <row r="104" spans="1:8" ht="15.75" x14ac:dyDescent="0.25">
      <c r="B104" s="140" t="s">
        <v>113</v>
      </c>
      <c r="C104" s="138"/>
      <c r="D104" s="99">
        <v>15</v>
      </c>
      <c r="E104" s="99"/>
      <c r="F104" s="99">
        <v>15</v>
      </c>
      <c r="G104" s="99"/>
      <c r="H104" s="99"/>
    </row>
    <row r="105" spans="1:8" ht="15.75" x14ac:dyDescent="0.25">
      <c r="B105" s="141" t="s">
        <v>114</v>
      </c>
      <c r="C105" s="138"/>
      <c r="D105" s="99">
        <v>9</v>
      </c>
      <c r="E105" s="99">
        <v>9</v>
      </c>
      <c r="F105" s="99">
        <v>9</v>
      </c>
      <c r="G105" s="99">
        <v>9</v>
      </c>
      <c r="H105" s="99">
        <v>13</v>
      </c>
    </row>
    <row r="106" spans="1:8" ht="18" x14ac:dyDescent="0.25">
      <c r="B106" s="142" t="s">
        <v>98</v>
      </c>
      <c r="C106" s="143"/>
      <c r="D106" s="144">
        <f>SUM(D102:D105)</f>
        <v>90.3</v>
      </c>
      <c r="E106" s="144">
        <f>SUM(E102:E105)</f>
        <v>116.19999999999999</v>
      </c>
      <c r="F106" s="144">
        <f>SUM(F102:F105)</f>
        <v>90.3</v>
      </c>
      <c r="G106" s="144">
        <f>SUM(G102:G105)</f>
        <v>114.5</v>
      </c>
      <c r="H106" s="144">
        <f>SUM(H102:H105)</f>
        <v>82.5</v>
      </c>
    </row>
    <row r="107" spans="1:8" s="149" customFormat="1" ht="7.5" customHeight="1" x14ac:dyDescent="0.25">
      <c r="A107" s="145"/>
      <c r="B107" s="146"/>
      <c r="C107" s="147"/>
      <c r="D107" s="148"/>
      <c r="E107" s="148"/>
      <c r="F107" s="148"/>
      <c r="G107" s="148"/>
      <c r="H107" s="148"/>
    </row>
    <row r="108" spans="1:8" ht="18" x14ac:dyDescent="0.25">
      <c r="B108" s="124" t="s">
        <v>115</v>
      </c>
      <c r="C108" s="125"/>
      <c r="D108" s="123"/>
      <c r="E108" s="123"/>
      <c r="F108" s="123"/>
      <c r="G108" s="123"/>
      <c r="H108" s="123"/>
    </row>
    <row r="109" spans="1:8" ht="18" x14ac:dyDescent="0.25">
      <c r="B109" s="124" t="s">
        <v>116</v>
      </c>
      <c r="C109" s="125"/>
      <c r="D109" s="123"/>
      <c r="E109" s="123"/>
      <c r="F109" s="123"/>
      <c r="G109" s="123"/>
      <c r="H109" s="123"/>
    </row>
    <row r="110" spans="1:8" ht="15.75" x14ac:dyDescent="0.25">
      <c r="B110" s="126" t="s">
        <v>110</v>
      </c>
      <c r="C110" s="127"/>
      <c r="D110" s="128" t="s">
        <v>3</v>
      </c>
      <c r="E110" s="129"/>
      <c r="F110" s="130" t="s">
        <v>4</v>
      </c>
      <c r="G110" s="128"/>
      <c r="H110" s="131" t="s">
        <v>5</v>
      </c>
    </row>
    <row r="111" spans="1:8" ht="15.75" x14ac:dyDescent="0.25">
      <c r="B111" s="132"/>
      <c r="C111" s="133"/>
      <c r="D111" s="129" t="s">
        <v>7</v>
      </c>
      <c r="E111" s="134" t="s">
        <v>8</v>
      </c>
      <c r="F111" s="134" t="s">
        <v>7</v>
      </c>
      <c r="G111" s="135" t="s">
        <v>9</v>
      </c>
      <c r="H111" s="136" t="s">
        <v>10</v>
      </c>
    </row>
    <row r="112" spans="1:8" ht="15.75" x14ac:dyDescent="0.25">
      <c r="B112" s="137" t="s">
        <v>111</v>
      </c>
      <c r="C112" s="138"/>
      <c r="D112" s="139">
        <v>54</v>
      </c>
      <c r="E112" s="139">
        <v>101.5</v>
      </c>
      <c r="F112" s="139">
        <v>54</v>
      </c>
      <c r="G112" s="139">
        <v>101.2</v>
      </c>
      <c r="H112" s="139">
        <v>56.5</v>
      </c>
    </row>
    <row r="113" spans="1:8" ht="15.75" x14ac:dyDescent="0.25">
      <c r="B113" s="137" t="s">
        <v>112</v>
      </c>
      <c r="C113" s="138"/>
      <c r="D113" s="139">
        <f>D103</f>
        <v>3.1</v>
      </c>
      <c r="E113" s="139">
        <f>E103</f>
        <v>3.1</v>
      </c>
      <c r="F113" s="139">
        <f>F103</f>
        <v>3.1</v>
      </c>
      <c r="G113" s="139">
        <f>G103</f>
        <v>3.1</v>
      </c>
      <c r="H113" s="139">
        <f>H103</f>
        <v>3.1</v>
      </c>
    </row>
    <row r="114" spans="1:8" ht="15.75" x14ac:dyDescent="0.25">
      <c r="B114" s="140" t="s">
        <v>113</v>
      </c>
      <c r="C114" s="138"/>
      <c r="D114" s="139">
        <f>D104</f>
        <v>15</v>
      </c>
      <c r="E114" s="139"/>
      <c r="F114" s="139"/>
      <c r="G114" s="139"/>
      <c r="H114" s="139"/>
    </row>
    <row r="115" spans="1:8" ht="15.75" x14ac:dyDescent="0.25">
      <c r="B115" s="141" t="s">
        <v>114</v>
      </c>
      <c r="C115" s="138"/>
      <c r="D115" s="139">
        <f>D105</f>
        <v>9</v>
      </c>
      <c r="E115" s="139">
        <f>E105</f>
        <v>9</v>
      </c>
      <c r="F115" s="139">
        <f>F105</f>
        <v>9</v>
      </c>
      <c r="G115" s="139">
        <f>G105</f>
        <v>9</v>
      </c>
      <c r="H115" s="139">
        <f>H105</f>
        <v>13</v>
      </c>
    </row>
    <row r="116" spans="1:8" ht="18" x14ac:dyDescent="0.25">
      <c r="B116" s="142" t="s">
        <v>98</v>
      </c>
      <c r="C116" s="143"/>
      <c r="D116" s="144">
        <f>SUM(D112:D115)</f>
        <v>81.099999999999994</v>
      </c>
      <c r="E116" s="144">
        <f>SUM(E112:E115)</f>
        <v>113.6</v>
      </c>
      <c r="F116" s="144">
        <f>SUM(F112:F115)</f>
        <v>66.099999999999994</v>
      </c>
      <c r="G116" s="144">
        <f>SUM(G112:G115)</f>
        <v>113.3</v>
      </c>
      <c r="H116" s="144">
        <f>SUM(H112:H115)</f>
        <v>72.599999999999994</v>
      </c>
    </row>
    <row r="117" spans="1:8" ht="8.25" customHeight="1" x14ac:dyDescent="0.25">
      <c r="B117" s="146"/>
      <c r="C117" s="147"/>
      <c r="D117" s="148"/>
      <c r="E117" s="148"/>
      <c r="F117" s="148"/>
      <c r="G117" s="148"/>
      <c r="H117" s="148"/>
    </row>
    <row r="118" spans="1:8" ht="18" x14ac:dyDescent="0.25">
      <c r="B118" s="124" t="s">
        <v>117</v>
      </c>
      <c r="C118" s="125"/>
      <c r="D118" s="123"/>
      <c r="E118" s="123"/>
      <c r="F118" s="123"/>
      <c r="G118" s="123"/>
      <c r="H118" s="123"/>
    </row>
    <row r="119" spans="1:8" ht="18" x14ac:dyDescent="0.25">
      <c r="B119" s="124" t="s">
        <v>118</v>
      </c>
      <c r="C119" s="125"/>
      <c r="D119" s="123"/>
      <c r="E119" s="123"/>
      <c r="F119" s="123"/>
      <c r="G119" s="123"/>
      <c r="H119" s="123"/>
    </row>
    <row r="120" spans="1:8" ht="15.75" x14ac:dyDescent="0.25">
      <c r="B120" s="126" t="s">
        <v>110</v>
      </c>
      <c r="C120" s="127"/>
      <c r="D120" s="128" t="s">
        <v>3</v>
      </c>
      <c r="E120" s="129"/>
      <c r="F120" s="130" t="s">
        <v>4</v>
      </c>
      <c r="G120" s="128"/>
      <c r="H120" s="131" t="s">
        <v>5</v>
      </c>
    </row>
    <row r="121" spans="1:8" ht="15.75" x14ac:dyDescent="0.25">
      <c r="B121" s="132"/>
      <c r="C121" s="133"/>
      <c r="D121" s="129" t="s">
        <v>7</v>
      </c>
      <c r="E121" s="134" t="s">
        <v>8</v>
      </c>
      <c r="F121" s="134" t="s">
        <v>7</v>
      </c>
      <c r="G121" s="135" t="s">
        <v>9</v>
      </c>
      <c r="H121" s="136" t="s">
        <v>10</v>
      </c>
    </row>
    <row r="122" spans="1:8" ht="15.75" x14ac:dyDescent="0.25">
      <c r="B122" s="137" t="s">
        <v>111</v>
      </c>
      <c r="C122" s="138"/>
      <c r="D122" s="150">
        <v>66.27</v>
      </c>
      <c r="E122" s="150">
        <v>105</v>
      </c>
      <c r="F122" s="150">
        <v>66.27</v>
      </c>
      <c r="G122" s="150">
        <v>102.8</v>
      </c>
      <c r="H122" s="150">
        <v>69.7</v>
      </c>
    </row>
    <row r="123" spans="1:8" ht="15.75" x14ac:dyDescent="0.25">
      <c r="B123" s="137" t="s">
        <v>112</v>
      </c>
      <c r="C123" s="138"/>
      <c r="D123" s="139">
        <v>3.1</v>
      </c>
      <c r="E123" s="139">
        <v>3.1</v>
      </c>
      <c r="F123" s="139">
        <v>3.1</v>
      </c>
      <c r="G123" s="139">
        <v>3.1</v>
      </c>
      <c r="H123" s="139">
        <v>3.1</v>
      </c>
    </row>
    <row r="124" spans="1:8" ht="15.75" x14ac:dyDescent="0.25">
      <c r="B124" s="140" t="s">
        <v>113</v>
      </c>
      <c r="C124" s="138"/>
      <c r="D124" s="99">
        <v>15</v>
      </c>
      <c r="E124" s="99"/>
      <c r="F124" s="99">
        <v>15</v>
      </c>
      <c r="G124" s="99"/>
      <c r="H124" s="99"/>
    </row>
    <row r="125" spans="1:8" ht="15.75" x14ac:dyDescent="0.25">
      <c r="B125" s="141" t="s">
        <v>114</v>
      </c>
      <c r="C125" s="138"/>
      <c r="D125" s="99">
        <v>9</v>
      </c>
      <c r="E125" s="99">
        <v>9</v>
      </c>
      <c r="F125" s="99">
        <v>9</v>
      </c>
      <c r="G125" s="99">
        <v>9</v>
      </c>
      <c r="H125" s="99">
        <v>13</v>
      </c>
    </row>
    <row r="126" spans="1:8" s="149" customFormat="1" ht="18" x14ac:dyDescent="0.25">
      <c r="A126" s="145"/>
      <c r="B126" s="142" t="s">
        <v>98</v>
      </c>
      <c r="C126" s="143"/>
      <c r="D126" s="144">
        <f>SUM(D122:D125)</f>
        <v>93.36999999999999</v>
      </c>
      <c r="E126" s="144">
        <f>SUM(E122:E125)</f>
        <v>117.1</v>
      </c>
      <c r="F126" s="144">
        <f>SUM(F122:F125)</f>
        <v>93.36999999999999</v>
      </c>
      <c r="G126" s="144">
        <f>SUM(G122:G125)</f>
        <v>114.89999999999999</v>
      </c>
      <c r="H126" s="144">
        <f>SUM(H122:H125)</f>
        <v>85.8</v>
      </c>
    </row>
    <row r="127" spans="1:8" ht="18" x14ac:dyDescent="0.25">
      <c r="B127" s="124" t="s">
        <v>119</v>
      </c>
      <c r="C127" s="125"/>
      <c r="D127" s="123"/>
      <c r="E127" s="123"/>
      <c r="F127" s="123"/>
      <c r="G127" s="123"/>
      <c r="H127" s="123"/>
    </row>
    <row r="128" spans="1:8" ht="15.75" x14ac:dyDescent="0.25">
      <c r="B128" s="126" t="s">
        <v>110</v>
      </c>
      <c r="C128" s="127"/>
      <c r="D128" s="128" t="s">
        <v>3</v>
      </c>
      <c r="E128" s="129"/>
      <c r="F128" s="130" t="s">
        <v>4</v>
      </c>
      <c r="G128" s="128"/>
      <c r="H128" s="131" t="s">
        <v>5</v>
      </c>
    </row>
    <row r="129" spans="2:8" ht="15.75" x14ac:dyDescent="0.25">
      <c r="B129" s="132"/>
      <c r="C129" s="133"/>
      <c r="D129" s="129" t="s">
        <v>7</v>
      </c>
      <c r="E129" s="134" t="s">
        <v>8</v>
      </c>
      <c r="F129" s="134" t="s">
        <v>7</v>
      </c>
      <c r="G129" s="135" t="s">
        <v>9</v>
      </c>
      <c r="H129" s="136" t="s">
        <v>10</v>
      </c>
    </row>
    <row r="130" spans="2:8" ht="15.75" x14ac:dyDescent="0.25">
      <c r="B130" s="151" t="s">
        <v>111</v>
      </c>
      <c r="C130" s="152"/>
      <c r="D130" s="102">
        <f>D85*D5*12</f>
        <v>13384730.452560727</v>
      </c>
      <c r="E130" s="102">
        <f t="shared" ref="E130:H130" si="0">E85*E5*12</f>
        <v>2554372.9453358632</v>
      </c>
      <c r="F130" s="102">
        <f t="shared" si="0"/>
        <v>35225515.036744177</v>
      </c>
      <c r="G130" s="102">
        <f t="shared" si="0"/>
        <v>5835232.7262620907</v>
      </c>
      <c r="H130" s="102">
        <f t="shared" si="0"/>
        <v>4958565.8390971543</v>
      </c>
    </row>
    <row r="131" spans="2:8" ht="15.75" x14ac:dyDescent="0.25">
      <c r="B131" s="140" t="s">
        <v>113</v>
      </c>
      <c r="C131" s="153"/>
      <c r="D131" s="102">
        <f>D89*D5*12</f>
        <v>3174858</v>
      </c>
      <c r="E131" s="98"/>
      <c r="F131" s="102">
        <f>F89*F5*12</f>
        <v>8355492</v>
      </c>
      <c r="G131" s="98"/>
      <c r="H131" s="98"/>
    </row>
    <row r="132" spans="2:8" ht="15.75" x14ac:dyDescent="0.25">
      <c r="B132" s="141" t="s">
        <v>114</v>
      </c>
      <c r="C132" s="153"/>
      <c r="D132" s="102">
        <f>D92*D5*12</f>
        <v>1897424.2942466466</v>
      </c>
      <c r="E132" s="102">
        <f>E92*E5*12</f>
        <v>219980.77680163784</v>
      </c>
      <c r="F132" s="102">
        <f>F92*F5*12</f>
        <v>4993581.9212019891</v>
      </c>
      <c r="G132" s="102">
        <f>G92*G5*12</f>
        <v>510660.05549287237</v>
      </c>
      <c r="H132" s="102">
        <f>H92*H5*12</f>
        <v>955499.95225685439</v>
      </c>
    </row>
    <row r="133" spans="2:8" ht="18" x14ac:dyDescent="0.25">
      <c r="B133" s="142" t="s">
        <v>98</v>
      </c>
      <c r="C133" s="154"/>
      <c r="D133" s="155">
        <f>SUM(D130:D132)</f>
        <v>18457012.746807374</v>
      </c>
      <c r="E133" s="156">
        <f>SUM(E130:E132)</f>
        <v>2774353.722137501</v>
      </c>
      <c r="F133" s="156">
        <f>SUM(F130:F132)</f>
        <v>48574588.957946166</v>
      </c>
      <c r="G133" s="156">
        <f>SUM(G130:G132)</f>
        <v>6345892.7817549631</v>
      </c>
      <c r="H133" s="156">
        <f>SUM(H130:H132)</f>
        <v>5914065.791354009</v>
      </c>
    </row>
    <row r="134" spans="2:8" ht="18" x14ac:dyDescent="0.25">
      <c r="B134" s="142" t="s">
        <v>120</v>
      </c>
      <c r="C134" s="154"/>
      <c r="D134" s="157"/>
      <c r="E134" s="158"/>
      <c r="F134" s="158"/>
      <c r="G134" s="158"/>
      <c r="H134" s="156">
        <f>D133+E133+F133+G133+H133</f>
        <v>82065914.000000015</v>
      </c>
    </row>
    <row r="135" spans="2:8" ht="15" customHeight="1" x14ac:dyDescent="0.25">
      <c r="B135" s="159"/>
      <c r="C135" s="160"/>
      <c r="D135" s="161"/>
      <c r="E135" s="161"/>
      <c r="F135" s="162"/>
      <c r="G135" s="146"/>
      <c r="H135" s="146"/>
    </row>
    <row r="136" spans="2:8" ht="15.75" x14ac:dyDescent="0.25">
      <c r="B136" s="163" t="s">
        <v>121</v>
      </c>
      <c r="C136" s="164"/>
      <c r="D136" s="128"/>
      <c r="E136" s="128"/>
      <c r="F136" s="129"/>
      <c r="G136" s="123"/>
      <c r="H136" s="123"/>
    </row>
    <row r="137" spans="2:8" ht="15.75" x14ac:dyDescent="0.25">
      <c r="B137" s="99" t="s">
        <v>122</v>
      </c>
      <c r="C137" s="165">
        <v>400000</v>
      </c>
      <c r="D137" s="166" t="s">
        <v>123</v>
      </c>
      <c r="E137" s="166"/>
      <c r="F137" s="166"/>
      <c r="G137" s="123"/>
      <c r="H137" s="123"/>
    </row>
    <row r="138" spans="2:8" ht="15.75" x14ac:dyDescent="0.25">
      <c r="B138" s="99" t="s">
        <v>124</v>
      </c>
      <c r="C138" s="167">
        <v>600000</v>
      </c>
      <c r="D138" s="166" t="s">
        <v>123</v>
      </c>
      <c r="E138" s="168"/>
      <c r="F138" s="169"/>
      <c r="G138" s="123"/>
      <c r="H138" s="123"/>
    </row>
    <row r="139" spans="2:8" ht="15.75" x14ac:dyDescent="0.25">
      <c r="B139" s="99" t="s">
        <v>98</v>
      </c>
      <c r="C139" s="167">
        <f>SUM(C137:C138)</f>
        <v>1000000</v>
      </c>
      <c r="D139" s="141"/>
      <c r="E139" s="170"/>
      <c r="F139" s="171"/>
      <c r="G139" s="123"/>
      <c r="H139" s="123"/>
    </row>
  </sheetData>
  <mergeCells count="1">
    <mergeCell ref="B1:H1"/>
  </mergeCells>
  <pageMargins left="0.15748031496062992" right="0.15748031496062992" top="0.15748031496062992" bottom="0.15748031496062992" header="0.15748031496062992" footer="0.15748031496062992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2026 (3)</vt:lpstr>
      <vt:lpstr>'2026 (3)'!Область_печати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2026-02-26T13:32:37Z</dcterms:created>
  <dcterms:modified xsi:type="dcterms:W3CDTF">2026-02-26T13:33:21Z</dcterms:modified>
</cp:coreProperties>
</file>